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Июнь 2023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0" i="1" l="1"/>
  <c r="N17" i="1" l="1"/>
  <c r="J16" i="1"/>
  <c r="J18" i="1" s="1"/>
  <c r="J19" i="1" s="1"/>
  <c r="I16" i="1"/>
  <c r="I18" i="1" s="1"/>
  <c r="I19" i="1" s="1"/>
  <c r="H16" i="1"/>
  <c r="H18" i="1" s="1"/>
  <c r="H19" i="1" s="1"/>
  <c r="G16" i="1"/>
  <c r="G18" i="1" s="1"/>
  <c r="G19" i="1" s="1"/>
  <c r="F16" i="1"/>
  <c r="F18" i="1" s="1"/>
  <c r="F19" i="1" s="1"/>
  <c r="E16" i="1"/>
  <c r="D16" i="1"/>
  <c r="D18" i="1" s="1"/>
  <c r="J14" i="1"/>
  <c r="I14" i="1"/>
  <c r="H14" i="1"/>
  <c r="G14" i="1"/>
  <c r="F14" i="1"/>
  <c r="E14" i="1"/>
  <c r="D14" i="1"/>
  <c r="J13" i="1"/>
  <c r="I13" i="1"/>
  <c r="H13" i="1"/>
  <c r="G13" i="1"/>
  <c r="F13" i="1"/>
  <c r="E13" i="1"/>
  <c r="D13" i="1"/>
  <c r="K12" i="1"/>
  <c r="K13" i="1" s="1"/>
  <c r="M11" i="1"/>
  <c r="L11" i="1"/>
  <c r="K11" i="1"/>
  <c r="J11" i="1"/>
  <c r="I11" i="1"/>
  <c r="H11" i="1"/>
  <c r="G11" i="1"/>
  <c r="F11" i="1"/>
  <c r="E11" i="1"/>
  <c r="D11" i="1"/>
  <c r="N11" i="1" l="1"/>
  <c r="D19" i="1"/>
  <c r="E18" i="1"/>
  <c r="E19" i="1" s="1"/>
  <c r="K14" i="1"/>
  <c r="K16" i="1"/>
  <c r="K18" i="1" s="1"/>
  <c r="K19" i="1" s="1"/>
  <c r="L12" i="1"/>
  <c r="N14" i="1" l="1"/>
  <c r="M12" i="1"/>
  <c r="L13" i="1"/>
  <c r="M13" i="1" l="1"/>
  <c r="N13" i="1" s="1"/>
  <c r="M16" i="1"/>
  <c r="M18" i="1" s="1"/>
  <c r="M19" i="1" s="1"/>
  <c r="N12" i="1"/>
  <c r="L18" i="1"/>
  <c r="N16" i="1"/>
  <c r="L19" i="1" l="1"/>
  <c r="N19" i="1" s="1"/>
  <c r="N18" i="1"/>
</calcChain>
</file>

<file path=xl/sharedStrings.xml><?xml version="1.0" encoding="utf-8"?>
<sst xmlns="http://schemas.openxmlformats.org/spreadsheetml/2006/main" count="58" uniqueCount="47">
  <si>
    <t>Наименование показателя</t>
  </si>
  <si>
    <t>Ед. изм.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</si>
  <si>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</si>
  <si>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</si>
  <si>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</si>
  <si>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</si>
  <si>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</si>
  <si>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</si>
  <si>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</si>
  <si>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</si>
  <si>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</si>
  <si>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</si>
  <si>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
период
10 лет.</t>
  </si>
  <si>
    <t>Общее количество парковочных мест</t>
  </si>
  <si>
    <t>шт.</t>
  </si>
  <si>
    <t>Тариф, из расчёта 1 ТС/руб. час</t>
  </si>
  <si>
    <t>руб.</t>
  </si>
  <si>
    <t>тыс.руб.</t>
  </si>
  <si>
    <t>Размер концессионной платы</t>
  </si>
  <si>
    <t>%</t>
  </si>
  <si>
    <t>Общая сумма концессионной платы, в т.ч. НДС</t>
  </si>
  <si>
    <t>От Концессионера:</t>
  </si>
  <si>
    <t xml:space="preserve">
 </t>
  </si>
  <si>
    <t>___________________/________________/</t>
  </si>
  <si>
    <t>М.П.</t>
  </si>
  <si>
    <t>* Концессионная плата за предыдущий месяц перечисляется до 20 числа следующего месяца (плата за декабрь перечисляется в январе следующего года).</t>
  </si>
  <si>
    <t>-</t>
  </si>
  <si>
    <t>25 % январь                                  40 % фев-дек</t>
  </si>
  <si>
    <t>Доход (выручка) от осуществления деятельности, без НДС</t>
  </si>
  <si>
    <t>Концессионная плата, в т.ч. НДС</t>
  </si>
  <si>
    <t>От Концедента:</t>
  </si>
  <si>
    <t>Общая сумма концессионной платы Концеденту, без НДС</t>
  </si>
  <si>
    <t>Долгосрочные прогнозные параметры регулирования деятельности Концессионера</t>
  </si>
  <si>
    <t>Сумма от дохода (выручки) от осуществления деятельности Концессионером направленная на возмещение инвестиционных вложений Концессионера, в т.ч. НДС</t>
  </si>
  <si>
    <t>Общая сумма к оплате Концеденту, без НДС*</t>
  </si>
  <si>
    <r>
      <t xml:space="preserve">Приложение № 1                                                                       к дополнительному соглашению № 5                                                 от «___»_________20___ г.
к концессионному соглашению </t>
    </r>
    <r>
      <rPr>
        <sz val="12"/>
        <color rgb="FF000000"/>
        <rFont val="Times New Roman"/>
        <family val="1"/>
        <charset val="204"/>
      </rPr>
      <t>от 02.10.2017</t>
    </r>
  </si>
  <si>
    <t xml:space="preserve">Приложение № 8 </t>
  </si>
  <si>
    <t>к Соглашению</t>
  </si>
  <si>
    <t>"_____" _____________ 202___ г.</t>
  </si>
  <si>
    <t xml:space="preserve">   А.А. Астанин</t>
  </si>
  <si>
    <t xml:space="preserve">Исполняющий обязанности руководителя управления транспорта                                                                                                                 </t>
  </si>
  <si>
    <t>Справочно:</t>
  </si>
  <si>
    <t xml:space="preserve">сумма инвестиций 116 348,1 тыс. руб., в т.ч. НДС </t>
  </si>
  <si>
    <t xml:space="preserve">доход для окупаемости инвестиций при 15% 775 653,97 тыс. руб., в т. ч. НДС </t>
  </si>
  <si>
    <r>
      <t>Сумма максимально возможных оплат, в т.ч. НДС (S</t>
    </r>
    <r>
      <rPr>
        <sz val="8"/>
        <color rgb="FF000000"/>
        <rFont val="Times New Roman"/>
        <family val="1"/>
        <charset val="204"/>
      </rPr>
      <t>max)</t>
    </r>
  </si>
  <si>
    <t>Доход (выручка) от осуществления деятельности, в т.ч. НДС (В)</t>
  </si>
  <si>
    <r>
      <t>Сумма дохода (выручки), превышающая 33,33% суммы максимально возможных оплат, в т.ч. НДС (В</t>
    </r>
    <r>
      <rPr>
        <sz val="8"/>
        <color rgb="FF000000"/>
        <rFont val="Times New Roman"/>
        <family val="1"/>
        <charset val="204"/>
      </rPr>
      <t>пр</t>
    </r>
    <r>
      <rPr>
        <sz val="12"/>
        <color rgb="FF00000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</si>
</sst>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_-* #,##0_-;\-* #,##0_-;_-* \-??_-;_-@_-"/>
  </numFmts>
  <fonts count="8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9" fontId="3" fillId="0" borderId="0" applyBorder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/>
    <xf numFmtId="0" fontId="4" fillId="0" borderId="0" xfId="0" applyFont="1" applyBorder="1"/>
    <xf numFmtId="0" fontId="0" fillId="2" borderId="0" xfId="0" applyFont="1" applyFill="1" applyAlignment="1">
      <alignment horizontal="right" wrapText="1"/>
    </xf>
    <xf numFmtId="164" fontId="0" fillId="2" borderId="0" xfId="1" applyFont="1" applyFill="1" applyBorder="1" applyAlignment="1" applyProtection="1"/>
    <xf numFmtId="0" fontId="0" fillId="2" borderId="0" xfId="0" applyFill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165" fontId="2" fillId="0" borderId="1" xfId="1" applyNumberFormat="1" applyFont="1" applyBorder="1" applyAlignment="1" applyProtection="1"/>
    <xf numFmtId="9" fontId="2" fillId="0" borderId="1" xfId="2" applyFont="1" applyBorder="1" applyAlignment="1" applyProtection="1"/>
    <xf numFmtId="9" fontId="2" fillId="0" borderId="1" xfId="2" applyFont="1" applyBorder="1" applyAlignment="1" applyProtection="1">
      <alignment horizontal="right" wrapText="1"/>
    </xf>
    <xf numFmtId="165" fontId="2" fillId="0" borderId="1" xfId="2" applyNumberFormat="1" applyFont="1" applyBorder="1" applyAlignment="1" applyProtection="1">
      <alignment horizontal="right"/>
    </xf>
    <xf numFmtId="0" fontId="2" fillId="0" borderId="0" xfId="0" applyFont="1"/>
    <xf numFmtId="165" fontId="2" fillId="0" borderId="0" xfId="1" applyNumberFormat="1" applyFont="1" applyBorder="1" applyAlignment="1" applyProtection="1"/>
    <xf numFmtId="0" fontId="5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left" wrapText="1"/>
    </xf>
    <xf numFmtId="4" fontId="2" fillId="0" borderId="0" xfId="0" applyNumberFormat="1" applyFont="1"/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2" fillId="0" borderId="0" xfId="0" applyFont="1" applyBorder="1"/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0" zoomScaleNormal="80" workbookViewId="0">
      <selection activeCell="B17" sqref="B17"/>
    </sheetView>
  </sheetViews>
  <sheetFormatPr defaultRowHeight="15" x14ac:dyDescent="0.25"/>
  <cols>
    <col min="1" max="1" width="5" customWidth="1"/>
    <col min="2" max="2" width="61.7109375" style="1" customWidth="1"/>
    <col min="3" max="3" width="12.28515625" customWidth="1"/>
    <col min="4" max="11" width="11.28515625" customWidth="1"/>
    <col min="12" max="12" width="18" customWidth="1"/>
    <col min="13" max="14" width="11.28515625" customWidth="1"/>
    <col min="15" max="15" width="8.5703125" customWidth="1"/>
    <col min="16" max="16" width="16.28515625" customWidth="1"/>
    <col min="17" max="1025" width="8.5703125" customWidth="1"/>
  </cols>
  <sheetData>
    <row r="1" spans="2:16" ht="58.5" customHeight="1" x14ac:dyDescent="0.25">
      <c r="K1" s="27" t="s">
        <v>35</v>
      </c>
      <c r="L1" s="27"/>
      <c r="M1" s="27"/>
      <c r="N1" s="27"/>
    </row>
    <row r="3" spans="2:16" x14ac:dyDescent="0.25">
      <c r="K3" s="28" t="s">
        <v>36</v>
      </c>
      <c r="L3" s="28"/>
      <c r="M3" s="28"/>
      <c r="N3" s="28"/>
    </row>
    <row r="4" spans="2:16" x14ac:dyDescent="0.25">
      <c r="K4" s="5"/>
      <c r="L4" s="5"/>
      <c r="M4" s="28" t="s">
        <v>37</v>
      </c>
      <c r="N4" s="28"/>
    </row>
    <row r="5" spans="2:16" ht="30" customHeight="1" x14ac:dyDescent="0.3">
      <c r="B5" s="25" t="s">
        <v>32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2:16" x14ac:dyDescent="0.25">
      <c r="K6" s="5"/>
      <c r="L6" s="5"/>
      <c r="M6" s="5"/>
      <c r="N6" s="5"/>
    </row>
    <row r="8" spans="2:16" ht="47.25" x14ac:dyDescent="0.25">
      <c r="B8" s="9" t="s">
        <v>0</v>
      </c>
      <c r="C8" s="10" t="s">
        <v>1</v>
      </c>
      <c r="D8" s="11" t="s">
        <v>2</v>
      </c>
      <c r="E8" s="11" t="s">
        <v>3</v>
      </c>
      <c r="F8" s="11" t="s">
        <v>4</v>
      </c>
      <c r="G8" s="11" t="s">
        <v>5</v>
      </c>
      <c r="H8" s="11" t="s">
        <v>6</v>
      </c>
      <c r="I8" s="11" t="s">
        <v>7</v>
      </c>
      <c r="J8" s="11" t="s">
        <v>8</v>
      </c>
      <c r="K8" s="11" t="s">
        <v>9</v>
      </c>
      <c r="L8" s="11" t="s">
        <v>10</v>
      </c>
      <c r="M8" s="11" t="s">
        <v>11</v>
      </c>
      <c r="N8" s="12" t="s">
        <v>12</v>
      </c>
      <c r="O8" s="4"/>
      <c r="P8" s="4"/>
    </row>
    <row r="9" spans="2:16" ht="15.75" x14ac:dyDescent="0.25">
      <c r="B9" s="9" t="s">
        <v>13</v>
      </c>
      <c r="C9" s="10" t="s">
        <v>14</v>
      </c>
      <c r="D9" s="13">
        <v>6000</v>
      </c>
      <c r="E9" s="13">
        <v>6000</v>
      </c>
      <c r="F9" s="13">
        <v>6000</v>
      </c>
      <c r="G9" s="13">
        <v>6000</v>
      </c>
      <c r="H9" s="13">
        <v>6000</v>
      </c>
      <c r="I9" s="13">
        <v>6000</v>
      </c>
      <c r="J9" s="13">
        <v>6000</v>
      </c>
      <c r="K9" s="13">
        <v>6000</v>
      </c>
      <c r="L9" s="13">
        <v>6000</v>
      </c>
      <c r="M9" s="13">
        <v>6000</v>
      </c>
      <c r="N9" s="13">
        <v>6000</v>
      </c>
      <c r="O9" s="4"/>
      <c r="P9" s="4"/>
    </row>
    <row r="10" spans="2:16" ht="15.75" x14ac:dyDescent="0.25">
      <c r="B10" s="9" t="s">
        <v>15</v>
      </c>
      <c r="C10" s="10" t="s">
        <v>16</v>
      </c>
      <c r="D10" s="13">
        <v>40</v>
      </c>
      <c r="E10" s="13">
        <v>40</v>
      </c>
      <c r="F10" s="13">
        <v>40</v>
      </c>
      <c r="G10" s="13">
        <v>40</v>
      </c>
      <c r="H10" s="13">
        <v>40</v>
      </c>
      <c r="I10" s="13">
        <v>40</v>
      </c>
      <c r="J10" s="13">
        <v>40</v>
      </c>
      <c r="K10" s="13">
        <v>40</v>
      </c>
      <c r="L10" s="13">
        <v>40</v>
      </c>
      <c r="M10" s="13">
        <v>40</v>
      </c>
      <c r="N10" s="13">
        <v>40</v>
      </c>
      <c r="O10" s="4"/>
      <c r="P10" s="4"/>
    </row>
    <row r="11" spans="2:16" ht="15.75" x14ac:dyDescent="0.25">
      <c r="B11" s="9" t="s">
        <v>44</v>
      </c>
      <c r="C11" s="10" t="s">
        <v>17</v>
      </c>
      <c r="D11" s="13">
        <f>D9*D10*12*65/1000</f>
        <v>187200</v>
      </c>
      <c r="E11" s="13">
        <f>(E9*E10*12*171+E9*E10*11*76)/1000</f>
        <v>693120</v>
      </c>
      <c r="F11" s="13">
        <f>F9*F10*11*248/1000</f>
        <v>654720</v>
      </c>
      <c r="G11" s="13">
        <f>G9*G10*11*247/1000</f>
        <v>652080</v>
      </c>
      <c r="H11" s="13">
        <f>H9*H10*11*247/1000</f>
        <v>652080</v>
      </c>
      <c r="I11" s="13">
        <f>I9*I10*11*247/1000</f>
        <v>652080</v>
      </c>
      <c r="J11" s="13">
        <f>J9*J10*11*248/1000</f>
        <v>654720</v>
      </c>
      <c r="K11" s="13">
        <f>K9*K10*11*247/1000</f>
        <v>652080</v>
      </c>
      <c r="L11" s="13">
        <f>L9*L10*11*247/1000</f>
        <v>652080</v>
      </c>
      <c r="M11" s="13">
        <f>M9*M10*11*247/1000/12*9</f>
        <v>489060</v>
      </c>
      <c r="N11" s="13">
        <f>SUM(D11:M11)</f>
        <v>5939220</v>
      </c>
      <c r="O11" s="4"/>
      <c r="P11" s="4"/>
    </row>
    <row r="12" spans="2:16" ht="15.75" customHeight="1" x14ac:dyDescent="0.25">
      <c r="B12" s="9" t="s">
        <v>45</v>
      </c>
      <c r="C12" s="10" t="s">
        <v>17</v>
      </c>
      <c r="D12" s="13">
        <v>33165.487800000003</v>
      </c>
      <c r="E12" s="13">
        <v>64206.888350000001</v>
      </c>
      <c r="F12" s="13">
        <v>51725.379439999997</v>
      </c>
      <c r="G12" s="13">
        <v>65571.446339999995</v>
      </c>
      <c r="H12" s="13">
        <v>85422.571070000005</v>
      </c>
      <c r="I12" s="13">
        <v>113751.86877</v>
      </c>
      <c r="J12" s="13">
        <v>171000</v>
      </c>
      <c r="K12" s="13">
        <f>J12+1690</f>
        <v>172690</v>
      </c>
      <c r="L12" s="13">
        <f>K12</f>
        <v>172690</v>
      </c>
      <c r="M12" s="13">
        <f>L12/12*9</f>
        <v>129517.5</v>
      </c>
      <c r="N12" s="13">
        <f>SUM(D12:M12)</f>
        <v>1059741.1417700001</v>
      </c>
      <c r="O12" s="4"/>
      <c r="P12" s="4"/>
    </row>
    <row r="13" spans="2:16" ht="20.25" customHeight="1" x14ac:dyDescent="0.25">
      <c r="B13" s="9" t="s">
        <v>28</v>
      </c>
      <c r="C13" s="10" t="s">
        <v>17</v>
      </c>
      <c r="D13" s="13">
        <f>D12/1.18</f>
        <v>28106.345593220343</v>
      </c>
      <c r="E13" s="13">
        <f t="shared" ref="E13:M13" si="0">E12/1.2</f>
        <v>53505.740291666669</v>
      </c>
      <c r="F13" s="13">
        <f t="shared" si="0"/>
        <v>43104.482866666665</v>
      </c>
      <c r="G13" s="13">
        <f t="shared" si="0"/>
        <v>54642.871950000001</v>
      </c>
      <c r="H13" s="13">
        <f t="shared" si="0"/>
        <v>71185.475891666676</v>
      </c>
      <c r="I13" s="13">
        <f t="shared" si="0"/>
        <v>94793.223975000001</v>
      </c>
      <c r="J13" s="13">
        <f t="shared" si="0"/>
        <v>142500</v>
      </c>
      <c r="K13" s="13">
        <f t="shared" si="0"/>
        <v>143908.33333333334</v>
      </c>
      <c r="L13" s="13">
        <f t="shared" si="0"/>
        <v>143908.33333333334</v>
      </c>
      <c r="M13" s="13">
        <f t="shared" si="0"/>
        <v>107931.25</v>
      </c>
      <c r="N13" s="13">
        <f>SUM(D13:M13)</f>
        <v>883586.05723488715</v>
      </c>
      <c r="O13" s="4"/>
      <c r="P13" s="4"/>
    </row>
    <row r="14" spans="2:16" ht="49.5" customHeight="1" x14ac:dyDescent="0.25">
      <c r="B14" s="9" t="s">
        <v>33</v>
      </c>
      <c r="C14" s="10" t="s">
        <v>17</v>
      </c>
      <c r="D14" s="13">
        <f t="shared" ref="D14:K14" si="1">D12*0.15</f>
        <v>4974.8231700000006</v>
      </c>
      <c r="E14" s="13">
        <f t="shared" si="1"/>
        <v>9631.0332524999994</v>
      </c>
      <c r="F14" s="13">
        <f t="shared" si="1"/>
        <v>7758.8069159999995</v>
      </c>
      <c r="G14" s="13">
        <f t="shared" si="1"/>
        <v>9835.7169509999985</v>
      </c>
      <c r="H14" s="13">
        <f t="shared" si="1"/>
        <v>12813.3856605</v>
      </c>
      <c r="I14" s="13">
        <f t="shared" si="1"/>
        <v>17062.7803155</v>
      </c>
      <c r="J14" s="13">
        <f t="shared" si="1"/>
        <v>25650</v>
      </c>
      <c r="K14" s="13">
        <f t="shared" si="1"/>
        <v>25903.5</v>
      </c>
      <c r="L14" s="13">
        <v>2718</v>
      </c>
      <c r="M14" s="13">
        <v>0</v>
      </c>
      <c r="N14" s="13">
        <f>SUM(D14:M14)</f>
        <v>116348.0462655</v>
      </c>
      <c r="O14" s="4"/>
      <c r="P14" s="4"/>
    </row>
    <row r="15" spans="2:16" ht="32.25" customHeight="1" x14ac:dyDescent="0.25">
      <c r="B15" s="9" t="s">
        <v>18</v>
      </c>
      <c r="C15" s="10" t="s">
        <v>19</v>
      </c>
      <c r="D15" s="14">
        <v>0.25</v>
      </c>
      <c r="E15" s="14">
        <v>0.25</v>
      </c>
      <c r="F15" s="14">
        <v>0.25</v>
      </c>
      <c r="G15" s="14">
        <v>0.25</v>
      </c>
      <c r="H15" s="14">
        <v>0.25</v>
      </c>
      <c r="I15" s="14">
        <v>0.25</v>
      </c>
      <c r="J15" s="14">
        <v>0.25</v>
      </c>
      <c r="K15" s="14">
        <v>0.25</v>
      </c>
      <c r="L15" s="15" t="s">
        <v>27</v>
      </c>
      <c r="M15" s="14">
        <v>0.4</v>
      </c>
      <c r="N15" s="16" t="s">
        <v>26</v>
      </c>
      <c r="O15" s="4"/>
      <c r="P15" s="4"/>
    </row>
    <row r="16" spans="2:16" ht="15.75" x14ac:dyDescent="0.25">
      <c r="B16" s="9" t="s">
        <v>29</v>
      </c>
      <c r="C16" s="10" t="s">
        <v>17</v>
      </c>
      <c r="D16" s="13">
        <f t="shared" ref="D16:K16" si="2">D12*D15</f>
        <v>8291.3719500000007</v>
      </c>
      <c r="E16" s="13">
        <f t="shared" si="2"/>
        <v>16051.7220875</v>
      </c>
      <c r="F16" s="13">
        <f t="shared" si="2"/>
        <v>12931.344859999999</v>
      </c>
      <c r="G16" s="13">
        <f t="shared" si="2"/>
        <v>16392.861584999999</v>
      </c>
      <c r="H16" s="13">
        <f t="shared" si="2"/>
        <v>21355.642767500001</v>
      </c>
      <c r="I16" s="13">
        <f t="shared" si="2"/>
        <v>28437.9671925</v>
      </c>
      <c r="J16" s="13">
        <f t="shared" si="2"/>
        <v>42750</v>
      </c>
      <c r="K16" s="13">
        <f t="shared" si="2"/>
        <v>43172.5</v>
      </c>
      <c r="L16" s="13">
        <v>66358</v>
      </c>
      <c r="M16" s="13">
        <f>M12*M15</f>
        <v>51807</v>
      </c>
      <c r="N16" s="13">
        <f>SUM(D16:M16)</f>
        <v>307548.41044250003</v>
      </c>
      <c r="O16" s="4"/>
      <c r="P16" s="4"/>
    </row>
    <row r="17" spans="1:16" ht="31.5" x14ac:dyDescent="0.25">
      <c r="B17" s="9" t="s">
        <v>46</v>
      </c>
      <c r="C17" s="10" t="s">
        <v>17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f>SUM(D17:M17)</f>
        <v>0</v>
      </c>
      <c r="O17" s="4"/>
      <c r="P17" s="4"/>
    </row>
    <row r="18" spans="1:16" ht="15.75" x14ac:dyDescent="0.25">
      <c r="B18" s="9" t="s">
        <v>20</v>
      </c>
      <c r="C18" s="10" t="s">
        <v>17</v>
      </c>
      <c r="D18" s="13">
        <f t="shared" ref="D18:M18" si="3">D16+D17</f>
        <v>8291.3719500000007</v>
      </c>
      <c r="E18" s="13">
        <f t="shared" si="3"/>
        <v>16051.7220875</v>
      </c>
      <c r="F18" s="13">
        <f t="shared" si="3"/>
        <v>12931.344859999999</v>
      </c>
      <c r="G18" s="13">
        <f t="shared" si="3"/>
        <v>16392.861584999999</v>
      </c>
      <c r="H18" s="13">
        <f t="shared" si="3"/>
        <v>21355.642767500001</v>
      </c>
      <c r="I18" s="13">
        <f t="shared" si="3"/>
        <v>28437.9671925</v>
      </c>
      <c r="J18" s="13">
        <f t="shared" si="3"/>
        <v>42750</v>
      </c>
      <c r="K18" s="13">
        <f t="shared" si="3"/>
        <v>43172.5</v>
      </c>
      <c r="L18" s="13">
        <f t="shared" si="3"/>
        <v>66358</v>
      </c>
      <c r="M18" s="13">
        <f t="shared" si="3"/>
        <v>51807</v>
      </c>
      <c r="N18" s="13">
        <f>SUM(D18:M18)</f>
        <v>307548.41044250003</v>
      </c>
      <c r="O18" s="4"/>
      <c r="P18" s="4"/>
    </row>
    <row r="19" spans="1:16" ht="15.75" x14ac:dyDescent="0.25">
      <c r="B19" s="9" t="s">
        <v>31</v>
      </c>
      <c r="C19" s="10" t="s">
        <v>17</v>
      </c>
      <c r="D19" s="13">
        <f>D18/1.18</f>
        <v>7026.5863983050858</v>
      </c>
      <c r="E19" s="13">
        <f t="shared" ref="E19:M19" si="4">E18/1.2</f>
        <v>13376.435072916667</v>
      </c>
      <c r="F19" s="13">
        <f t="shared" si="4"/>
        <v>10776.120716666666</v>
      </c>
      <c r="G19" s="13">
        <f t="shared" si="4"/>
        <v>13660.7179875</v>
      </c>
      <c r="H19" s="13">
        <f t="shared" si="4"/>
        <v>17796.368972916669</v>
      </c>
      <c r="I19" s="13">
        <f t="shared" si="4"/>
        <v>23698.30599375</v>
      </c>
      <c r="J19" s="13">
        <f t="shared" si="4"/>
        <v>35625</v>
      </c>
      <c r="K19" s="13">
        <f t="shared" si="4"/>
        <v>35977.083333333336</v>
      </c>
      <c r="L19" s="13">
        <f t="shared" si="4"/>
        <v>55298.333333333336</v>
      </c>
      <c r="M19" s="13">
        <f t="shared" si="4"/>
        <v>43172.5</v>
      </c>
      <c r="N19" s="13">
        <f>SUM(D19:M19)</f>
        <v>256407.45180872179</v>
      </c>
      <c r="O19" s="4"/>
      <c r="P19" s="4"/>
    </row>
    <row r="20" spans="1:16" ht="15.75" x14ac:dyDescent="0.25">
      <c r="B20" s="9" t="s">
        <v>34</v>
      </c>
      <c r="C20" s="10" t="s">
        <v>17</v>
      </c>
      <c r="D20" s="13">
        <v>4825</v>
      </c>
      <c r="E20" s="13">
        <v>15213</v>
      </c>
      <c r="F20" s="13">
        <v>10021</v>
      </c>
      <c r="G20" s="13">
        <v>13370</v>
      </c>
      <c r="H20" s="13">
        <v>17539</v>
      </c>
      <c r="I20" s="13">
        <v>22878</v>
      </c>
      <c r="J20" s="13">
        <v>35590</v>
      </c>
      <c r="K20" s="13">
        <v>35704</v>
      </c>
      <c r="L20" s="13">
        <v>54050</v>
      </c>
      <c r="M20" s="13">
        <v>48070</v>
      </c>
      <c r="N20" s="13">
        <f>SUM(D20:M20)</f>
        <v>257260</v>
      </c>
      <c r="O20" s="4"/>
      <c r="P20" s="4"/>
    </row>
    <row r="21" spans="1:16" ht="15.75" x14ac:dyDescent="0.25">
      <c r="B21" s="3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6" ht="18" customHeight="1" x14ac:dyDescent="0.25">
      <c r="B22" s="23" t="s">
        <v>25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6" ht="15.75" customHeight="1" x14ac:dyDescent="0.25">
      <c r="B23" s="21" t="s">
        <v>41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6" ht="16.5" customHeight="1" x14ac:dyDescent="0.25">
      <c r="B24" s="23" t="s">
        <v>42</v>
      </c>
      <c r="C24" s="23"/>
      <c r="D24" s="23"/>
      <c r="E24" s="23"/>
      <c r="F24" s="23"/>
      <c r="G24" s="23"/>
      <c r="H24" s="23"/>
      <c r="I24" s="23"/>
      <c r="J24" s="23"/>
      <c r="K24" s="21"/>
      <c r="L24" s="21"/>
      <c r="M24" s="21"/>
      <c r="N24" s="21"/>
    </row>
    <row r="25" spans="1:16" ht="17.25" customHeight="1" x14ac:dyDescent="0.25">
      <c r="B25" s="23" t="s">
        <v>43</v>
      </c>
      <c r="C25" s="23"/>
      <c r="D25" s="23"/>
      <c r="E25" s="23"/>
      <c r="F25" s="23"/>
      <c r="G25" s="23"/>
      <c r="H25" s="23"/>
      <c r="I25" s="23"/>
      <c r="J25" s="23"/>
      <c r="K25" s="21"/>
      <c r="L25" s="21"/>
      <c r="M25" s="21"/>
      <c r="N25" s="21"/>
    </row>
    <row r="26" spans="1:16" ht="15.75" x14ac:dyDescent="0.25">
      <c r="B26" s="3"/>
      <c r="C26" s="22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6" ht="15.75" x14ac:dyDescent="0.25">
      <c r="B27" s="21"/>
      <c r="C27" s="2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6" ht="15.75" x14ac:dyDescent="0.25">
      <c r="B28" s="3" t="s">
        <v>30</v>
      </c>
      <c r="C28" s="17"/>
      <c r="D28" s="17"/>
      <c r="E28" s="17"/>
      <c r="F28" s="17"/>
      <c r="G28" s="17"/>
      <c r="H28" s="17"/>
      <c r="I28" s="17"/>
      <c r="J28" s="17"/>
      <c r="K28" s="26" t="s">
        <v>21</v>
      </c>
      <c r="L28" s="26"/>
      <c r="M28" s="17"/>
      <c r="N28" s="17"/>
    </row>
    <row r="29" spans="1:16" ht="19.149999999999999" customHeight="1" x14ac:dyDescent="0.25">
      <c r="A29" s="2" t="s">
        <v>22</v>
      </c>
      <c r="B29" s="3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6" ht="15.75" x14ac:dyDescent="0.25">
      <c r="B30" s="26" t="s">
        <v>23</v>
      </c>
      <c r="C30" s="26"/>
      <c r="D30" s="17"/>
      <c r="E30" s="17"/>
      <c r="F30" s="17"/>
      <c r="G30" s="17"/>
      <c r="H30" s="17"/>
      <c r="I30" s="17"/>
      <c r="J30" s="17"/>
      <c r="K30" s="26" t="s">
        <v>23</v>
      </c>
      <c r="L30" s="26"/>
      <c r="M30" s="26"/>
      <c r="N30" s="26"/>
    </row>
    <row r="31" spans="1:16" ht="15.75" x14ac:dyDescent="0.25">
      <c r="B31" s="3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6" ht="15.75" x14ac:dyDescent="0.25">
      <c r="B32" s="26" t="s">
        <v>38</v>
      </c>
      <c r="C32" s="26"/>
      <c r="D32" s="17"/>
      <c r="E32" s="17"/>
      <c r="F32" s="17"/>
      <c r="G32" s="17"/>
      <c r="H32" s="17"/>
      <c r="I32" s="17"/>
      <c r="J32" s="17"/>
      <c r="K32" s="26" t="s">
        <v>38</v>
      </c>
      <c r="L32" s="26"/>
      <c r="M32" s="26"/>
      <c r="N32" s="26"/>
    </row>
    <row r="33" spans="2:14" ht="15.75" x14ac:dyDescent="0.25">
      <c r="B33" s="3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2:14" ht="15.75" x14ac:dyDescent="0.25">
      <c r="B34" s="26" t="s">
        <v>24</v>
      </c>
      <c r="C34" s="26"/>
      <c r="D34" s="17"/>
      <c r="E34" s="17"/>
      <c r="F34" s="17"/>
      <c r="G34" s="17"/>
      <c r="H34" s="17"/>
      <c r="I34" s="17"/>
      <c r="J34" s="17"/>
      <c r="K34" s="26" t="s">
        <v>24</v>
      </c>
      <c r="L34" s="26"/>
      <c r="M34" s="17"/>
      <c r="N34" s="17"/>
    </row>
    <row r="35" spans="2:14" ht="15.75" x14ac:dyDescent="0.25"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2:14" ht="18.75" customHeight="1" x14ac:dyDescent="0.25">
      <c r="B36" s="23" t="s">
        <v>40</v>
      </c>
      <c r="C36" s="24"/>
      <c r="D36" s="24"/>
      <c r="E36" s="24"/>
      <c r="F36" s="24"/>
      <c r="G36" s="24"/>
      <c r="H36" s="20"/>
      <c r="I36" s="20"/>
      <c r="J36" s="20"/>
      <c r="K36" s="20"/>
      <c r="L36" s="17" t="s">
        <v>39</v>
      </c>
      <c r="M36" s="20"/>
      <c r="N36" s="20"/>
    </row>
    <row r="37" spans="2:14" x14ac:dyDescent="0.25">
      <c r="B37" s="6"/>
      <c r="C37" s="7"/>
      <c r="D37" s="8"/>
    </row>
    <row r="38" spans="2:14" x14ac:dyDescent="0.25">
      <c r="B38" s="6"/>
      <c r="C38" s="7"/>
      <c r="D38" s="8"/>
    </row>
  </sheetData>
  <mergeCells count="15">
    <mergeCell ref="K1:N1"/>
    <mergeCell ref="K3:N3"/>
    <mergeCell ref="K28:L28"/>
    <mergeCell ref="B30:C30"/>
    <mergeCell ref="K30:N30"/>
    <mergeCell ref="M4:N4"/>
    <mergeCell ref="B36:G36"/>
    <mergeCell ref="B5:N5"/>
    <mergeCell ref="B32:C32"/>
    <mergeCell ref="K32:N32"/>
    <mergeCell ref="B34:C34"/>
    <mergeCell ref="K34:L34"/>
    <mergeCell ref="B22:N22"/>
    <mergeCell ref="B24:J24"/>
    <mergeCell ref="B25:J25"/>
  </mergeCells>
  <pageMargins left="0.70833333333333304" right="0.70833333333333304" top="0.74791666666666701" bottom="0.74791666666666701" header="0.51180555555555496" footer="0.51180555555555496"/>
  <pageSetup paperSize="9" scale="62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Смирных Алина</dc:creator>
  <cp:lastModifiedBy>Болгова И.Н.</cp:lastModifiedBy>
  <cp:revision>15</cp:revision>
  <cp:lastPrinted>2024-11-28T10:51:17Z</cp:lastPrinted>
  <dcterms:created xsi:type="dcterms:W3CDTF">2015-06-05T18:19:34Z</dcterms:created>
  <dcterms:modified xsi:type="dcterms:W3CDTF">2024-11-28T10:51:29Z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