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30" windowWidth="28710" windowHeight="14130"/>
  </bookViews>
  <sheets>
    <sheet name="Свод " sheetId="6" r:id="rId1"/>
    <sheet name="Лист1" sheetId="7" r:id="rId2"/>
  </sheets>
  <definedNames>
    <definedName name="_xlnm._FilterDatabase" localSheetId="0" hidden="1">'Свод '!$A$18:$D$18</definedName>
    <definedName name="_xlnm.Print_Titles" localSheetId="0">'Свод '!$18:$18</definedName>
    <definedName name="_xlnm.Print_Area" localSheetId="0">'Свод '!$A$1:$S$71</definedName>
  </definedNames>
  <calcPr calcId="145621"/>
</workbook>
</file>

<file path=xl/calcChain.xml><?xml version="1.0" encoding="utf-8"?>
<calcChain xmlns="http://schemas.openxmlformats.org/spreadsheetml/2006/main">
  <c r="I50" i="6" l="1"/>
  <c r="H50" i="6"/>
  <c r="I51" i="6" l="1"/>
  <c r="H51" i="6"/>
  <c r="S51" i="6" l="1"/>
  <c r="P40" i="6" l="1"/>
  <c r="M40" i="6"/>
  <c r="J40" i="6"/>
  <c r="G40" i="6"/>
  <c r="D40" i="6"/>
  <c r="F41" i="6"/>
  <c r="K41" i="6"/>
  <c r="L41" i="6"/>
  <c r="N41" i="6"/>
  <c r="O41" i="6"/>
  <c r="Q41" i="6"/>
  <c r="R41" i="6"/>
  <c r="S41" i="6"/>
  <c r="C40" i="6" l="1"/>
  <c r="F50" i="6" l="1"/>
  <c r="I25" i="6" l="1"/>
  <c r="H25" i="6"/>
  <c r="E25" i="6"/>
  <c r="E50" i="6"/>
  <c r="P60" i="6" l="1"/>
  <c r="P61" i="6"/>
  <c r="P62" i="6"/>
  <c r="P63" i="6"/>
  <c r="P64" i="6"/>
  <c r="P65" i="6"/>
  <c r="P55" i="6" l="1"/>
  <c r="P56" i="6"/>
  <c r="P54" i="6"/>
  <c r="M55" i="6"/>
  <c r="M56" i="6"/>
  <c r="M54" i="6"/>
  <c r="S45" i="6"/>
  <c r="I36" i="6"/>
  <c r="H36" i="6"/>
  <c r="S34" i="6"/>
  <c r="S31" i="6"/>
  <c r="S23" i="6"/>
  <c r="P39" i="6"/>
  <c r="M39" i="6"/>
  <c r="J39" i="6"/>
  <c r="G39" i="6"/>
  <c r="D39" i="6"/>
  <c r="G26" i="6"/>
  <c r="J26" i="6"/>
  <c r="M26" i="6"/>
  <c r="P26" i="6"/>
  <c r="E27" i="6"/>
  <c r="F27" i="6"/>
  <c r="H27" i="6"/>
  <c r="I27" i="6"/>
  <c r="K27" i="6"/>
  <c r="L27" i="6"/>
  <c r="N27" i="6"/>
  <c r="O27" i="6"/>
  <c r="Q27" i="6"/>
  <c r="R27" i="6"/>
  <c r="S27" i="6"/>
  <c r="D26" i="6"/>
  <c r="J55" i="6"/>
  <c r="J56" i="6"/>
  <c r="J54" i="6"/>
  <c r="G55" i="6"/>
  <c r="G56" i="6"/>
  <c r="G54" i="6"/>
  <c r="D56" i="6"/>
  <c r="D55" i="6"/>
  <c r="D54" i="6"/>
  <c r="C26" i="6" l="1"/>
  <c r="C39" i="6"/>
  <c r="C55" i="6"/>
  <c r="C54" i="6"/>
  <c r="C56" i="6"/>
  <c r="C57" i="6" l="1"/>
  <c r="D57" i="6"/>
  <c r="E57" i="6"/>
  <c r="F57" i="6"/>
  <c r="G57" i="6"/>
  <c r="H57" i="6"/>
  <c r="I57" i="6"/>
  <c r="J57" i="6"/>
  <c r="K57" i="6"/>
  <c r="L57" i="6"/>
  <c r="M57" i="6"/>
  <c r="N57" i="6"/>
  <c r="O57" i="6"/>
  <c r="P57" i="6"/>
  <c r="Q57" i="6"/>
  <c r="R57" i="6"/>
  <c r="S57" i="6"/>
  <c r="E23" i="6" l="1"/>
  <c r="F23" i="6"/>
  <c r="K23" i="6"/>
  <c r="L23" i="6"/>
  <c r="N23" i="6"/>
  <c r="O23" i="6"/>
  <c r="Q23" i="6"/>
  <c r="R23" i="6"/>
  <c r="L52" i="6"/>
  <c r="N52" i="6"/>
  <c r="O52" i="6"/>
  <c r="Q52" i="6"/>
  <c r="R52" i="6"/>
  <c r="I52" i="6" l="1"/>
  <c r="H52" i="6"/>
  <c r="I21" i="6"/>
  <c r="I23" i="6" s="1"/>
  <c r="H21" i="6"/>
  <c r="H23" i="6" s="1"/>
  <c r="E38" i="6" l="1"/>
  <c r="E41" i="6" s="1"/>
  <c r="F47" i="6"/>
  <c r="E47" i="6"/>
  <c r="F52" i="6"/>
  <c r="S52" i="6"/>
  <c r="E52" i="6" l="1"/>
  <c r="G51" i="6"/>
  <c r="D51" i="6"/>
  <c r="P50" i="6" l="1"/>
  <c r="M50" i="6"/>
  <c r="K50" i="6"/>
  <c r="G50" i="6"/>
  <c r="G52" i="6" s="1"/>
  <c r="D50" i="6"/>
  <c r="D52" i="6" l="1"/>
  <c r="J50" i="6"/>
  <c r="C50" i="6" s="1"/>
  <c r="K52" i="6"/>
  <c r="P21" i="6"/>
  <c r="M21" i="6"/>
  <c r="J21" i="6"/>
  <c r="G21" i="6"/>
  <c r="D21" i="6"/>
  <c r="C21" i="6" l="1"/>
  <c r="P38" i="6"/>
  <c r="M38" i="6"/>
  <c r="J38" i="6"/>
  <c r="I38" i="6"/>
  <c r="I41" i="6" s="1"/>
  <c r="H38" i="6"/>
  <c r="H41" i="6" s="1"/>
  <c r="D38" i="6"/>
  <c r="P37" i="6"/>
  <c r="M37" i="6"/>
  <c r="J37" i="6"/>
  <c r="G37" i="6"/>
  <c r="D37" i="6"/>
  <c r="P36" i="6"/>
  <c r="M36" i="6"/>
  <c r="M41" i="6" s="1"/>
  <c r="J36" i="6"/>
  <c r="J41" i="6" s="1"/>
  <c r="G36" i="6"/>
  <c r="D36" i="6"/>
  <c r="C37" i="6" l="1"/>
  <c r="P41" i="6"/>
  <c r="D41" i="6"/>
  <c r="C36" i="6"/>
  <c r="G38" i="6"/>
  <c r="C38" i="6" s="1"/>
  <c r="T38" i="6"/>
  <c r="C41" i="6" l="1"/>
  <c r="G41" i="6"/>
  <c r="J51" i="6"/>
  <c r="P47" i="6"/>
  <c r="M47" i="6"/>
  <c r="J47" i="6"/>
  <c r="G47" i="6"/>
  <c r="D47" i="6"/>
  <c r="C47" i="6" s="1"/>
  <c r="J52" i="6" l="1"/>
  <c r="G22" i="6"/>
  <c r="G23" i="6" s="1"/>
  <c r="J22" i="6"/>
  <c r="J23" i="6" s="1"/>
  <c r="M22" i="6"/>
  <c r="M23" i="6" s="1"/>
  <c r="P22" i="6"/>
  <c r="P23" i="6" s="1"/>
  <c r="D22" i="6"/>
  <c r="C22" i="6" l="1"/>
  <c r="D23" i="6"/>
  <c r="I29" i="6"/>
  <c r="H29" i="6"/>
  <c r="T29" i="6" s="1"/>
  <c r="H44" i="6"/>
  <c r="C23" i="6" l="1"/>
  <c r="E34" i="6" l="1"/>
  <c r="F34" i="6"/>
  <c r="H34" i="6"/>
  <c r="I34" i="6"/>
  <c r="K34" i="6"/>
  <c r="L34" i="6"/>
  <c r="N34" i="6"/>
  <c r="O34" i="6"/>
  <c r="Q34" i="6"/>
  <c r="R34" i="6"/>
  <c r="P33" i="6" l="1"/>
  <c r="M33" i="6"/>
  <c r="J33" i="6"/>
  <c r="G33" i="6"/>
  <c r="D33" i="6"/>
  <c r="I44" i="6"/>
  <c r="C33" i="6" l="1"/>
  <c r="N66" i="6"/>
  <c r="O66" i="6"/>
  <c r="M65" i="6"/>
  <c r="M64" i="6"/>
  <c r="M63" i="6"/>
  <c r="M62" i="6"/>
  <c r="M61" i="6"/>
  <c r="M60" i="6"/>
  <c r="M51" i="6"/>
  <c r="N48" i="6"/>
  <c r="O48" i="6"/>
  <c r="Q48" i="6"/>
  <c r="M48" i="6"/>
  <c r="N45" i="6"/>
  <c r="O45" i="6"/>
  <c r="M44" i="6"/>
  <c r="M43" i="6"/>
  <c r="M52" i="6" l="1"/>
  <c r="M66" i="6"/>
  <c r="M45" i="6"/>
  <c r="M34" i="6"/>
  <c r="N31" i="6"/>
  <c r="O31" i="6"/>
  <c r="O58" i="6" s="1"/>
  <c r="O67" i="6" s="1"/>
  <c r="M30" i="6"/>
  <c r="M29" i="6"/>
  <c r="N58" i="6"/>
  <c r="N67" i="6" s="1"/>
  <c r="M25" i="6"/>
  <c r="M27" i="6" s="1"/>
  <c r="M31" i="6" l="1"/>
  <c r="M58" i="6" s="1"/>
  <c r="M67" i="6" s="1"/>
  <c r="E48" i="6" l="1"/>
  <c r="F48" i="6"/>
  <c r="H48" i="6"/>
  <c r="I48" i="6"/>
  <c r="K48" i="6"/>
  <c r="L48" i="6"/>
  <c r="R48" i="6"/>
  <c r="S48" i="6"/>
  <c r="P48" i="6"/>
  <c r="G48" i="6"/>
  <c r="C48" i="6" l="1"/>
  <c r="D48" i="6"/>
  <c r="J48" i="6"/>
  <c r="C7" i="7" l="1"/>
  <c r="B4" i="7"/>
  <c r="D4" i="7" s="1"/>
  <c r="B6" i="7"/>
  <c r="D6" i="7" s="1"/>
  <c r="B5" i="7"/>
  <c r="D5" i="7" s="1"/>
  <c r="B2" i="7"/>
  <c r="D2" i="7" s="1"/>
  <c r="B1" i="7"/>
  <c r="D1" i="7" s="1"/>
  <c r="H66" i="6" l="1"/>
  <c r="I66" i="6"/>
  <c r="G61" i="6"/>
  <c r="G62" i="6"/>
  <c r="G63" i="6"/>
  <c r="G64" i="6"/>
  <c r="G65" i="6"/>
  <c r="G60" i="6"/>
  <c r="H45" i="6"/>
  <c r="I45" i="6"/>
  <c r="G44" i="6"/>
  <c r="G43" i="6"/>
  <c r="G66" i="6" l="1"/>
  <c r="G45" i="6"/>
  <c r="B3" i="7"/>
  <c r="J30" i="6"/>
  <c r="P30" i="6"/>
  <c r="E31" i="6"/>
  <c r="F31" i="6"/>
  <c r="H31" i="6"/>
  <c r="I31" i="6"/>
  <c r="K31" i="6"/>
  <c r="L31" i="6"/>
  <c r="Q31" i="6"/>
  <c r="R31" i="6"/>
  <c r="G30" i="6"/>
  <c r="D30" i="6"/>
  <c r="C30" i="6" l="1"/>
  <c r="D3" i="7"/>
  <c r="D7" i="7" s="1"/>
  <c r="B7" i="7"/>
  <c r="G34" i="6" l="1"/>
  <c r="G29" i="6" l="1"/>
  <c r="G31" i="6" s="1"/>
  <c r="D29" i="6"/>
  <c r="P29" i="6"/>
  <c r="P31" i="6" s="1"/>
  <c r="J29" i="6"/>
  <c r="J31" i="6" s="1"/>
  <c r="H58" i="6"/>
  <c r="H67" i="6" s="1"/>
  <c r="I58" i="6"/>
  <c r="I67" i="6" s="1"/>
  <c r="D25" i="6"/>
  <c r="G25" i="6"/>
  <c r="G27" i="6" s="1"/>
  <c r="D44" i="6"/>
  <c r="J44" i="6"/>
  <c r="P44" i="6"/>
  <c r="E45" i="6"/>
  <c r="E58" i="6" s="1"/>
  <c r="F45" i="6"/>
  <c r="F58" i="6" s="1"/>
  <c r="K45" i="6"/>
  <c r="K58" i="6" s="1"/>
  <c r="L45" i="6"/>
  <c r="L58" i="6" s="1"/>
  <c r="Q45" i="6"/>
  <c r="Q58" i="6" s="1"/>
  <c r="R45" i="6"/>
  <c r="R58" i="6" s="1"/>
  <c r="S58" i="6"/>
  <c r="C29" i="6" l="1"/>
  <c r="C44" i="6"/>
  <c r="D27" i="6"/>
  <c r="D31" i="6"/>
  <c r="G58" i="6"/>
  <c r="G67" i="6" s="1"/>
  <c r="J25" i="6"/>
  <c r="J27" i="6" s="1"/>
  <c r="J34" i="6"/>
  <c r="J43" i="6"/>
  <c r="K66" i="6"/>
  <c r="K67" i="6" s="1"/>
  <c r="L66" i="6"/>
  <c r="J61" i="6"/>
  <c r="J62" i="6"/>
  <c r="J63" i="6"/>
  <c r="J64" i="6"/>
  <c r="J65" i="6"/>
  <c r="J60" i="6"/>
  <c r="P43" i="6"/>
  <c r="P45" i="6" s="1"/>
  <c r="D43" i="6"/>
  <c r="C43" i="6" l="1"/>
  <c r="L67" i="6"/>
  <c r="D45" i="6"/>
  <c r="C45" i="6"/>
  <c r="C31" i="6"/>
  <c r="J45" i="6"/>
  <c r="J58" i="6" s="1"/>
  <c r="J66" i="6"/>
  <c r="P34" i="6"/>
  <c r="J67" i="6" l="1"/>
  <c r="C34" i="6"/>
  <c r="D34" i="6"/>
  <c r="D58" i="6" s="1"/>
  <c r="E66" i="6"/>
  <c r="E67" i="6" s="1"/>
  <c r="F66" i="6"/>
  <c r="Q66" i="6"/>
  <c r="R66" i="6"/>
  <c r="R67" i="6" s="1"/>
  <c r="S66" i="6"/>
  <c r="S67" i="6" s="1"/>
  <c r="P51" i="6"/>
  <c r="C51" i="6" s="1"/>
  <c r="P25" i="6"/>
  <c r="C25" i="6" s="1"/>
  <c r="C52" i="6" l="1"/>
  <c r="F67" i="6"/>
  <c r="Q67" i="6"/>
  <c r="P27" i="6"/>
  <c r="C27" i="6"/>
  <c r="P52" i="6"/>
  <c r="P66" i="6"/>
  <c r="C58" i="6" l="1"/>
  <c r="P58" i="6"/>
  <c r="P67" i="6" s="1"/>
  <c r="D60" i="6"/>
  <c r="C60" i="6" s="1"/>
  <c r="D61" i="6"/>
  <c r="C61" i="6" s="1"/>
  <c r="D62" i="6"/>
  <c r="C62" i="6" s="1"/>
  <c r="D63" i="6"/>
  <c r="D64" i="6"/>
  <c r="C64" i="6" s="1"/>
  <c r="D65" i="6"/>
  <c r="C63" i="6" l="1"/>
  <c r="C65" i="6"/>
  <c r="D66" i="6"/>
  <c r="D67" i="6" s="1"/>
  <c r="C66" i="6" l="1"/>
  <c r="C67" i="6" s="1"/>
  <c r="B18" i="6" l="1"/>
  <c r="C18" i="6" s="1"/>
  <c r="D18" i="6" s="1"/>
  <c r="E18" i="6" s="1"/>
  <c r="F18" i="6" s="1"/>
  <c r="G18" i="6" s="1"/>
  <c r="H18" i="6" s="1"/>
  <c r="I18" i="6" s="1"/>
  <c r="J18" i="6" s="1"/>
  <c r="K18" i="6" s="1"/>
  <c r="L18" i="6" s="1"/>
  <c r="Q18" i="6" s="1"/>
  <c r="R18" i="6" s="1"/>
</calcChain>
</file>

<file path=xl/sharedStrings.xml><?xml version="1.0" encoding="utf-8"?>
<sst xmlns="http://schemas.openxmlformats.org/spreadsheetml/2006/main" count="94" uniqueCount="67">
  <si>
    <t>Благоустройство 0503</t>
  </si>
  <si>
    <t>городского округа город Воронеж</t>
  </si>
  <si>
    <t>УТВЕРЖДЕНО</t>
  </si>
  <si>
    <t>распоряжением администрации</t>
  </si>
  <si>
    <t>Железнодорожный район</t>
  </si>
  <si>
    <t>Коминтерновский район</t>
  </si>
  <si>
    <t>Итого по Коминтерновскому району</t>
  </si>
  <si>
    <t xml:space="preserve">ПООБЪЕКТНОЕ РАСПРЕДЕЛЕНИЕ </t>
  </si>
  <si>
    <t>Левобережный район</t>
  </si>
  <si>
    <t>Ленинский район</t>
  </si>
  <si>
    <t>Советский район</t>
  </si>
  <si>
    <t>Итого по Советскому району</t>
  </si>
  <si>
    <t>Центральный район</t>
  </si>
  <si>
    <t>Выполнение работ по благоустройству общественных территорий</t>
  </si>
  <si>
    <t>Управление строительной политики</t>
  </si>
  <si>
    <t>Всего по городскому округу город Воронеж</t>
  </si>
  <si>
    <t>Общая  стоимость,  руб.</t>
  </si>
  <si>
    <t>№ п/п</t>
  </si>
  <si>
    <t>Наименование объектов, работ и затрат</t>
  </si>
  <si>
    <t>Итого по управлению строительной политики</t>
  </si>
  <si>
    <t>Итого по благоустройству общественных территорий</t>
  </si>
  <si>
    <t>средства городского округа</t>
  </si>
  <si>
    <t>средства федерального и областного бюджетов</t>
  </si>
  <si>
    <t>стоимость работ (включая НДС), руб.</t>
  </si>
  <si>
    <t>Дополнительные средства  бюджета городского округа город Воронеж, руб.</t>
  </si>
  <si>
    <t>сквер Машиностроителей, ул. 9 Января, 108</t>
  </si>
  <si>
    <t>«Формирование современной городской среды на территории городского округа город Воронеж»</t>
  </si>
  <si>
    <t>Благоустройство Петровской набережной (I очередь)</t>
  </si>
  <si>
    <t>Благоустройство Петровской набережной (II очередь)</t>
  </si>
  <si>
    <t xml:space="preserve">Сквер Примирения и согласия </t>
  </si>
  <si>
    <t>Мероприятие по повышению уровня информирования граждан о проведении голосования по отбору общественных территорий, подлежащих благоустройству</t>
  </si>
  <si>
    <t>Итого по мероприятию</t>
  </si>
  <si>
    <t>по соглашению от 25.01.2024                 № 20701000-1-2024-018,  
 руб.</t>
  </si>
  <si>
    <t>по соглашению от 02.02.2024 № 10-И,  
 руб.</t>
  </si>
  <si>
    <t xml:space="preserve">ассигнований бюджета городского округа город Воронеж на 2024 год на проведение основного мероприятия 2 «Благоустройство </t>
  </si>
  <si>
    <t xml:space="preserve">общественных территорий» муниципальной программы городского округа город Воронеж </t>
  </si>
  <si>
    <t>средства областного бюджета</t>
  </si>
  <si>
    <t>Оформление кадастровых справок</t>
  </si>
  <si>
    <t>Итого по Ленинскому району</t>
  </si>
  <si>
    <t>Мемориальный комплекс «Площадь Победы»</t>
  </si>
  <si>
    <t>Итого по Центральному району</t>
  </si>
  <si>
    <t>Бульвар по ул. Карла Маркса, ул. Карла Маркса, 67п, участок № 2</t>
  </si>
  <si>
    <t>Благоустройство части территории набережной Авиастроителей (напротив парка Патриотов)</t>
  </si>
  <si>
    <t>Итого по Левобережному району</t>
  </si>
  <si>
    <t>остаток средств 2023 года для возврата в 2024 году, для  оплаты кредиторской задолженности,  
 руб.</t>
  </si>
  <si>
    <t>по соглашению от 27.04.2024            № 24-А,
 руб.</t>
  </si>
  <si>
    <t>Управление культуры</t>
  </si>
  <si>
    <t>Благоустройство Петровской набережной (I очередь) (устройство  информационных конструкций)</t>
  </si>
  <si>
    <t>Итого по управлению культуры</t>
  </si>
  <si>
    <t>Устройство системы информации и навигации</t>
  </si>
  <si>
    <t>Сквер Машиностроителей, ул. 9 Января, 108</t>
  </si>
  <si>
    <t xml:space="preserve">  по постановлению от 06.06.2024 № 371,
 руб.</t>
  </si>
  <si>
    <t xml:space="preserve">Сквер Примирения и согласия, ул. Домостроителей, 26в </t>
  </si>
  <si>
    <t>Парк имени Н.А. Северцова, ул. Геофизическая, 1/3</t>
  </si>
  <si>
    <t>Примечание</t>
  </si>
  <si>
    <t>Сквер «Спортивный», ул. Переверткина, 1п</t>
  </si>
  <si>
    <t>Итого по Железнодорожному району</t>
  </si>
  <si>
    <t xml:space="preserve">Проведение проверки достоверности сметной стоимости </t>
  </si>
  <si>
    <t>Проведение проверки достоверности сметной стоимости</t>
  </si>
  <si>
    <t>Управление экологии</t>
  </si>
  <si>
    <t>Воронежский центральный парк, ул. Ленина, 10</t>
  </si>
  <si>
    <t>сквер Петровский, пр-кт Революции, 21в (разработка проектно-сметной документации)</t>
  </si>
  <si>
    <t>Итого по управлению экологии</t>
  </si>
  <si>
    <t>Благоустройство проспекта Революции в городе Воронеже (озеленение)</t>
  </si>
  <si>
    <t>Благоустройство бульвара по ул. Карла Маркса (разработка проектно-сметной документации)</t>
  </si>
  <si>
    <t xml:space="preserve">Руководитель  управления жилищно-коммунального хозяйства                                                        В.В. Мамаев                                                                                                                                                                                             </t>
  </si>
  <si>
    <t>от 17.12.2024   № 942-р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</si>
</sst>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#,##0.00;[Red]#,##0.00"/>
    <numFmt numFmtId="166" formatCode="#,##0;[Red]#,##0"/>
  </numFmts>
  <fonts count="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sz val="2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7" fillId="0" borderId="0" applyFont="0" applyFill="0" applyBorder="0" applyAlignment="0" applyProtection="0"/>
  </cellStyleXfs>
  <cellXfs count="85">
    <xf numFmtId="0" fontId="0" fillId="0" borderId="0" xfId="0"/>
    <xf numFmtId="4" fontId="6" fillId="2" borderId="1" xfId="0" applyNumberFormat="1" applyFont="1" applyFill="1" applyBorder="1" applyAlignment="1">
      <alignment horizontal="left" vertical="center" wrapText="1"/>
    </xf>
    <xf numFmtId="4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Alignment="1">
      <alignment wrapText="1"/>
    </xf>
    <xf numFmtId="0" fontId="6" fillId="2" borderId="0" xfId="0" applyFont="1" applyFill="1"/>
    <xf numFmtId="4" fontId="6" fillId="2" borderId="0" xfId="0" applyNumberFormat="1" applyFont="1" applyFill="1"/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/>
    <xf numFmtId="3" fontId="6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/>
    </xf>
    <xf numFmtId="165" fontId="6" fillId="2" borderId="1" xfId="10" applyNumberFormat="1" applyFont="1" applyFill="1" applyBorder="1" applyAlignment="1">
      <alignment horizontal="center" vertical="center"/>
    </xf>
    <xf numFmtId="3" fontId="6" fillId="2" borderId="0" xfId="0" applyNumberFormat="1" applyFont="1" applyFill="1" applyBorder="1" applyAlignment="1">
      <alignment horizontal="center" vertical="center"/>
    </xf>
    <xf numFmtId="4" fontId="6" fillId="2" borderId="0" xfId="0" applyNumberFormat="1" applyFont="1" applyFill="1" applyBorder="1" applyAlignment="1">
      <alignment horizontal="center" vertical="center"/>
    </xf>
    <xf numFmtId="4" fontId="6" fillId="2" borderId="0" xfId="0" applyNumberFormat="1" applyFont="1" applyFill="1" applyBorder="1" applyAlignment="1">
      <alignment vertical="center"/>
    </xf>
    <xf numFmtId="4" fontId="9" fillId="2" borderId="0" xfId="0" applyNumberFormat="1" applyFont="1" applyFill="1" applyBorder="1" applyAlignment="1">
      <alignment horizontal="center" vertical="center"/>
    </xf>
    <xf numFmtId="4" fontId="9" fillId="2" borderId="0" xfId="0" applyNumberFormat="1" applyFont="1" applyFill="1" applyBorder="1" applyAlignment="1">
      <alignment horizontal="center" vertical="center" wrapText="1"/>
    </xf>
    <xf numFmtId="4" fontId="10" fillId="2" borderId="0" xfId="0" applyNumberFormat="1" applyFont="1" applyFill="1" applyBorder="1" applyAlignment="1">
      <alignment horizontal="center" vertical="center"/>
    </xf>
    <xf numFmtId="166" fontId="6" fillId="2" borderId="1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vertical="top" wrapText="1"/>
    </xf>
    <xf numFmtId="0" fontId="11" fillId="2" borderId="0" xfId="0" applyFont="1" applyFill="1" applyAlignment="1">
      <alignment vertical="top"/>
    </xf>
    <xf numFmtId="0" fontId="11" fillId="2" borderId="0" xfId="0" applyFont="1" applyFill="1"/>
    <xf numFmtId="0" fontId="11" fillId="2" borderId="0" xfId="0" applyFont="1" applyFill="1" applyAlignment="1">
      <alignment horizontal="center" vertical="top"/>
    </xf>
    <xf numFmtId="0" fontId="11" fillId="2" borderId="0" xfId="0" applyFont="1" applyFill="1" applyAlignment="1"/>
    <xf numFmtId="0" fontId="11" fillId="2" borderId="0" xfId="0" applyFont="1" applyFill="1" applyAlignment="1">
      <alignment horizontal="center"/>
    </xf>
    <xf numFmtId="4" fontId="6" fillId="2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/>
    </xf>
    <xf numFmtId="49" fontId="6" fillId="2" borderId="1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0" fontId="12" fillId="0" borderId="0" xfId="0" applyFont="1"/>
    <xf numFmtId="4" fontId="12" fillId="2" borderId="1" xfId="0" applyNumberFormat="1" applyFont="1" applyFill="1" applyBorder="1" applyAlignment="1">
      <alignment horizontal="left" vertical="center" wrapText="1"/>
    </xf>
    <xf numFmtId="4" fontId="12" fillId="2" borderId="5" xfId="0" applyNumberFormat="1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/>
    <xf numFmtId="0" fontId="8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165" fontId="6" fillId="2" borderId="1" xfId="0" applyNumberFormat="1" applyFont="1" applyFill="1" applyBorder="1" applyAlignment="1">
      <alignment vertical="center"/>
    </xf>
    <xf numFmtId="2" fontId="6" fillId="2" borderId="1" xfId="0" applyNumberFormat="1" applyFont="1" applyFill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left" vertical="center" wrapText="1"/>
    </xf>
    <xf numFmtId="165" fontId="6" fillId="0" borderId="1" xfId="1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4" fontId="13" fillId="2" borderId="0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49" fontId="11" fillId="2" borderId="0" xfId="0" applyNumberFormat="1" applyFont="1" applyFill="1" applyAlignment="1">
      <alignment horizontal="center" vertical="top"/>
    </xf>
    <xf numFmtId="0" fontId="11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3" fontId="6" fillId="2" borderId="3" xfId="0" applyNumberFormat="1" applyFont="1" applyFill="1" applyBorder="1" applyAlignment="1">
      <alignment horizontal="center" vertical="center"/>
    </xf>
    <xf numFmtId="3" fontId="6" fillId="2" borderId="4" xfId="0" applyNumberFormat="1" applyFont="1" applyFill="1" applyBorder="1" applyAlignment="1">
      <alignment horizontal="center" vertical="center"/>
    </xf>
    <xf numFmtId="3" fontId="6" fillId="2" borderId="7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</cellXfs>
  <cellStyles count="11">
    <cellStyle name="Обычный" xfId="0" builtinId="0"/>
    <cellStyle name="Обычный 2" xfId="1"/>
    <cellStyle name="Обычный 2 2" xfId="5"/>
    <cellStyle name="Обычный 2 3" xfId="6"/>
    <cellStyle name="Обычный 3" xfId="2"/>
    <cellStyle name="Обычный 3 2" xfId="7"/>
    <cellStyle name="Обычный 4" xfId="3"/>
    <cellStyle name="Обычный 4 2" xfId="8"/>
    <cellStyle name="Обычный 5" xfId="4"/>
    <cellStyle name="Обычный 5 2" xfId="9"/>
    <cellStyle name="Финансовый" xfId="10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7"/>
  <sheetViews>
    <sheetView tabSelected="1" view="pageBreakPreview" topLeftCell="G1" zoomScale="70" zoomScaleNormal="61" zoomScaleSheetLayoutView="70" workbookViewId="0">
      <selection activeCell="A9" sqref="A9:S9"/>
    </sheetView>
  </sheetViews>
  <sheetFormatPr defaultRowHeight="20.25" x14ac:dyDescent="0.3"/>
  <cols>
    <col min="1" max="1" width="10.7109375" style="6" customWidth="1"/>
    <col min="2" max="2" width="46.85546875" style="3" customWidth="1"/>
    <col min="3" max="3" width="24.7109375" style="4" customWidth="1"/>
    <col min="4" max="4" width="24.140625" style="4" customWidth="1"/>
    <col min="5" max="5" width="31" style="4" customWidth="1"/>
    <col min="6" max="6" width="19" style="4" customWidth="1"/>
    <col min="7" max="7" width="25.28515625" style="4" customWidth="1"/>
    <col min="8" max="8" width="24.85546875" style="4" customWidth="1"/>
    <col min="9" max="9" width="19" style="4" customWidth="1"/>
    <col min="10" max="11" width="20.85546875" style="4" customWidth="1"/>
    <col min="12" max="16" width="19" style="4" customWidth="1"/>
    <col min="17" max="17" width="21.28515625" style="4" customWidth="1"/>
    <col min="18" max="18" width="19" style="4" customWidth="1"/>
    <col min="19" max="19" width="25.28515625" style="4" customWidth="1"/>
    <col min="20" max="20" width="59.140625" style="4" customWidth="1"/>
    <col min="21" max="16384" width="9.140625" style="4"/>
  </cols>
  <sheetData>
    <row r="1" spans="1:20" ht="23.25" customHeight="1" x14ac:dyDescent="0.35">
      <c r="A1" s="20"/>
      <c r="B1" s="21"/>
      <c r="C1" s="22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20" ht="30.75" customHeight="1" x14ac:dyDescent="0.35">
      <c r="A2" s="20"/>
      <c r="B2" s="21"/>
      <c r="C2" s="22"/>
      <c r="D2" s="23"/>
      <c r="E2" s="22"/>
      <c r="P2" s="24"/>
      <c r="Q2" s="24"/>
      <c r="R2" s="24" t="s">
        <v>2</v>
      </c>
      <c r="S2" s="24"/>
    </row>
    <row r="3" spans="1:20" ht="33.75" customHeight="1" x14ac:dyDescent="0.35">
      <c r="A3" s="20"/>
      <c r="B3" s="21"/>
      <c r="C3" s="22"/>
      <c r="D3" s="23"/>
      <c r="E3" s="22"/>
      <c r="P3" s="24"/>
      <c r="Q3" s="24"/>
      <c r="R3" s="24" t="s">
        <v>3</v>
      </c>
      <c r="S3" s="24"/>
    </row>
    <row r="4" spans="1:20" ht="32.25" customHeight="1" x14ac:dyDescent="0.35">
      <c r="A4" s="20"/>
      <c r="B4" s="21"/>
      <c r="C4" s="22"/>
      <c r="D4" s="23"/>
      <c r="E4" s="22"/>
      <c r="P4" s="24"/>
      <c r="Q4" s="24"/>
      <c r="R4" s="24" t="s">
        <v>1</v>
      </c>
      <c r="S4" s="24"/>
    </row>
    <row r="5" spans="1:20" ht="32.25" customHeight="1" x14ac:dyDescent="0.35">
      <c r="A5" s="20"/>
      <c r="B5" s="21"/>
      <c r="C5" s="22"/>
      <c r="D5" s="23"/>
      <c r="E5" s="22"/>
      <c r="P5" s="24"/>
      <c r="Q5" s="24"/>
      <c r="R5" s="24" t="s">
        <v>66</v>
      </c>
      <c r="S5" s="24"/>
    </row>
    <row r="6" spans="1:20" ht="23.25" customHeight="1" x14ac:dyDescent="0.35">
      <c r="A6" s="20"/>
      <c r="B6" s="21"/>
      <c r="C6" s="22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</row>
    <row r="7" spans="1:20" ht="23.25" customHeight="1" x14ac:dyDescent="0.35">
      <c r="A7" s="20"/>
      <c r="B7" s="21"/>
      <c r="C7" s="22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</row>
    <row r="8" spans="1:20" ht="23.25" customHeight="1" x14ac:dyDescent="0.35">
      <c r="A8" s="20"/>
      <c r="B8" s="21"/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</row>
    <row r="9" spans="1:20" s="8" customFormat="1" ht="23.25" customHeight="1" x14ac:dyDescent="0.3">
      <c r="A9" s="70" t="s">
        <v>7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</row>
    <row r="10" spans="1:20" s="8" customFormat="1" ht="23.25" customHeight="1" x14ac:dyDescent="0.3">
      <c r="A10" s="70" t="s">
        <v>34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</row>
    <row r="11" spans="1:20" s="8" customFormat="1" ht="23.25" customHeight="1" x14ac:dyDescent="0.35">
      <c r="A11" s="71" t="s">
        <v>35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</row>
    <row r="12" spans="1:20" s="8" customFormat="1" ht="23.25" customHeight="1" x14ac:dyDescent="0.35">
      <c r="A12" s="71" t="s">
        <v>26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</row>
    <row r="13" spans="1:20" s="8" customFormat="1" ht="23.25" customHeight="1" x14ac:dyDescent="0.35">
      <c r="A13" s="20"/>
      <c r="B13" s="26"/>
      <c r="C13" s="26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</row>
    <row r="14" spans="1:20" s="8" customFormat="1" ht="23.25" customHeight="1" x14ac:dyDescent="0.3">
      <c r="A14" s="6"/>
      <c r="B14" s="7"/>
      <c r="C14" s="7"/>
    </row>
    <row r="15" spans="1:20" ht="34.5" customHeight="1" x14ac:dyDescent="0.3">
      <c r="A15" s="72" t="s">
        <v>17</v>
      </c>
      <c r="B15" s="72" t="s">
        <v>18</v>
      </c>
      <c r="C15" s="72" t="s">
        <v>16</v>
      </c>
      <c r="D15" s="72" t="s">
        <v>0</v>
      </c>
      <c r="E15" s="72"/>
      <c r="F15" s="72"/>
      <c r="G15" s="72" t="s">
        <v>0</v>
      </c>
      <c r="H15" s="72"/>
      <c r="I15" s="72"/>
      <c r="J15" s="72" t="s">
        <v>0</v>
      </c>
      <c r="K15" s="72"/>
      <c r="L15" s="72"/>
      <c r="M15" s="72" t="s">
        <v>0</v>
      </c>
      <c r="N15" s="72"/>
      <c r="O15" s="72"/>
      <c r="P15" s="72" t="s">
        <v>0</v>
      </c>
      <c r="Q15" s="72"/>
      <c r="R15" s="72"/>
      <c r="S15" s="72" t="s">
        <v>24</v>
      </c>
      <c r="T15" s="82" t="s">
        <v>54</v>
      </c>
    </row>
    <row r="16" spans="1:20" ht="105" customHeight="1" x14ac:dyDescent="0.3">
      <c r="A16" s="72"/>
      <c r="B16" s="72"/>
      <c r="C16" s="72"/>
      <c r="D16" s="72" t="s">
        <v>23</v>
      </c>
      <c r="E16" s="72" t="s">
        <v>32</v>
      </c>
      <c r="F16" s="72"/>
      <c r="G16" s="72" t="s">
        <v>23</v>
      </c>
      <c r="H16" s="72" t="s">
        <v>45</v>
      </c>
      <c r="I16" s="72"/>
      <c r="J16" s="72" t="s">
        <v>23</v>
      </c>
      <c r="K16" s="72" t="s">
        <v>44</v>
      </c>
      <c r="L16" s="72"/>
      <c r="M16" s="72" t="s">
        <v>23</v>
      </c>
      <c r="N16" s="72" t="s">
        <v>51</v>
      </c>
      <c r="O16" s="72"/>
      <c r="P16" s="72" t="s">
        <v>23</v>
      </c>
      <c r="Q16" s="72" t="s">
        <v>33</v>
      </c>
      <c r="R16" s="72"/>
      <c r="S16" s="72"/>
      <c r="T16" s="83"/>
    </row>
    <row r="17" spans="1:20" ht="106.5" customHeight="1" x14ac:dyDescent="0.3">
      <c r="A17" s="72"/>
      <c r="B17" s="72"/>
      <c r="C17" s="72"/>
      <c r="D17" s="72"/>
      <c r="E17" s="40" t="s">
        <v>22</v>
      </c>
      <c r="F17" s="40" t="s">
        <v>21</v>
      </c>
      <c r="G17" s="72"/>
      <c r="H17" s="40" t="s">
        <v>36</v>
      </c>
      <c r="I17" s="40" t="s">
        <v>21</v>
      </c>
      <c r="J17" s="72"/>
      <c r="K17" s="40" t="s">
        <v>22</v>
      </c>
      <c r="L17" s="40" t="s">
        <v>21</v>
      </c>
      <c r="M17" s="72"/>
      <c r="N17" s="40" t="s">
        <v>36</v>
      </c>
      <c r="O17" s="40" t="s">
        <v>21</v>
      </c>
      <c r="P17" s="72"/>
      <c r="Q17" s="40" t="s">
        <v>36</v>
      </c>
      <c r="R17" s="40" t="s">
        <v>21</v>
      </c>
      <c r="S17" s="72"/>
      <c r="T17" s="84"/>
    </row>
    <row r="18" spans="1:20" ht="24.75" customHeight="1" x14ac:dyDescent="0.3">
      <c r="A18" s="42">
        <v>1</v>
      </c>
      <c r="B18" s="40">
        <f>A18+1</f>
        <v>2</v>
      </c>
      <c r="C18" s="40">
        <f t="shared" ref="C18:R18" si="0">B18+1</f>
        <v>3</v>
      </c>
      <c r="D18" s="40">
        <f t="shared" si="0"/>
        <v>4</v>
      </c>
      <c r="E18" s="40">
        <f t="shared" si="0"/>
        <v>5</v>
      </c>
      <c r="F18" s="40">
        <f t="shared" si="0"/>
        <v>6</v>
      </c>
      <c r="G18" s="40">
        <f t="shared" si="0"/>
        <v>7</v>
      </c>
      <c r="H18" s="40">
        <f t="shared" si="0"/>
        <v>8</v>
      </c>
      <c r="I18" s="40">
        <f t="shared" si="0"/>
        <v>9</v>
      </c>
      <c r="J18" s="40">
        <f>I18+1</f>
        <v>10</v>
      </c>
      <c r="K18" s="40">
        <f t="shared" si="0"/>
        <v>11</v>
      </c>
      <c r="L18" s="40">
        <f t="shared" si="0"/>
        <v>12</v>
      </c>
      <c r="M18" s="40">
        <v>13</v>
      </c>
      <c r="N18" s="40">
        <v>14</v>
      </c>
      <c r="O18" s="40">
        <v>15</v>
      </c>
      <c r="P18" s="40">
        <v>16</v>
      </c>
      <c r="Q18" s="40">
        <f t="shared" si="0"/>
        <v>17</v>
      </c>
      <c r="R18" s="40">
        <f t="shared" si="0"/>
        <v>18</v>
      </c>
      <c r="S18" s="40">
        <v>19</v>
      </c>
      <c r="T18" s="38"/>
    </row>
    <row r="19" spans="1:20" s="11" customFormat="1" ht="50.25" customHeight="1" x14ac:dyDescent="0.2">
      <c r="A19" s="76" t="s">
        <v>13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30"/>
    </row>
    <row r="20" spans="1:20" s="11" customFormat="1" ht="50.25" customHeight="1" x14ac:dyDescent="0.2">
      <c r="A20" s="77" t="s">
        <v>4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30"/>
    </row>
    <row r="21" spans="1:20" s="11" customFormat="1" ht="50.25" customHeight="1" x14ac:dyDescent="0.2">
      <c r="A21" s="19">
        <v>1</v>
      </c>
      <c r="B21" s="29" t="s">
        <v>55</v>
      </c>
      <c r="C21" s="12">
        <f>D21+G21+J21+M21+P21+S21</f>
        <v>3230000</v>
      </c>
      <c r="D21" s="12">
        <f>SUM(E21:F21)</f>
        <v>0</v>
      </c>
      <c r="E21" s="58">
        <v>0</v>
      </c>
      <c r="F21" s="58">
        <v>0</v>
      </c>
      <c r="G21" s="12">
        <f>SUM(H21:I21)</f>
        <v>3230000</v>
      </c>
      <c r="H21" s="12">
        <f>4114958.85-884991.15</f>
        <v>3229967.7</v>
      </c>
      <c r="I21" s="12">
        <f>41.15-8.85</f>
        <v>32.299999999999997</v>
      </c>
      <c r="J21" s="12">
        <f>SUM(K21:L21)</f>
        <v>0</v>
      </c>
      <c r="K21" s="12">
        <v>0</v>
      </c>
      <c r="L21" s="12">
        <v>0</v>
      </c>
      <c r="M21" s="12">
        <f>SUM(N21:O21)</f>
        <v>0</v>
      </c>
      <c r="N21" s="12">
        <v>0</v>
      </c>
      <c r="O21" s="12">
        <v>0</v>
      </c>
      <c r="P21" s="12">
        <f>SUM(Q21:R21)</f>
        <v>0</v>
      </c>
      <c r="Q21" s="12">
        <v>0</v>
      </c>
      <c r="R21" s="12">
        <v>0</v>
      </c>
      <c r="S21" s="12">
        <v>0</v>
      </c>
      <c r="T21" s="39"/>
    </row>
    <row r="22" spans="1:20" s="11" customFormat="1" ht="50.25" customHeight="1" x14ac:dyDescent="0.2">
      <c r="A22" s="19"/>
      <c r="B22" s="43" t="s">
        <v>57</v>
      </c>
      <c r="C22" s="12">
        <f>D22+G22+J22+M22+P22+S22</f>
        <v>15000</v>
      </c>
      <c r="D22" s="12">
        <f>SUM(E22:F22)</f>
        <v>0</v>
      </c>
      <c r="E22" s="47">
        <v>0</v>
      </c>
      <c r="F22" s="47">
        <v>0</v>
      </c>
      <c r="G22" s="12">
        <f>SUM(H22:I22)</f>
        <v>0</v>
      </c>
      <c r="H22" s="12">
        <v>0</v>
      </c>
      <c r="I22" s="12">
        <v>0</v>
      </c>
      <c r="J22" s="12">
        <f>SUM(K22:L22)</f>
        <v>0</v>
      </c>
      <c r="K22" s="12">
        <v>0</v>
      </c>
      <c r="L22" s="12">
        <v>0</v>
      </c>
      <c r="M22" s="12">
        <f>SUM(N22:O22)</f>
        <v>0</v>
      </c>
      <c r="N22" s="12">
        <v>0</v>
      </c>
      <c r="O22" s="12">
        <v>0</v>
      </c>
      <c r="P22" s="12">
        <f>SUM(Q22:R22)</f>
        <v>0</v>
      </c>
      <c r="Q22" s="12">
        <v>0</v>
      </c>
      <c r="R22" s="12">
        <v>0</v>
      </c>
      <c r="S22" s="12">
        <v>15000</v>
      </c>
      <c r="T22" s="39"/>
    </row>
    <row r="23" spans="1:20" s="11" customFormat="1" ht="50.25" customHeight="1" x14ac:dyDescent="0.2">
      <c r="A23" s="27"/>
      <c r="B23" s="1" t="s">
        <v>56</v>
      </c>
      <c r="C23" s="27">
        <f>SUM(C21:C22)</f>
        <v>3245000</v>
      </c>
      <c r="D23" s="59">
        <f t="shared" ref="D23:S23" si="1">SUM(D21:D22)</f>
        <v>0</v>
      </c>
      <c r="E23" s="59">
        <f t="shared" si="1"/>
        <v>0</v>
      </c>
      <c r="F23" s="59">
        <f t="shared" si="1"/>
        <v>0</v>
      </c>
      <c r="G23" s="59">
        <f t="shared" si="1"/>
        <v>3230000</v>
      </c>
      <c r="H23" s="59">
        <f t="shared" si="1"/>
        <v>3229967.7</v>
      </c>
      <c r="I23" s="59">
        <f t="shared" si="1"/>
        <v>32.299999999999997</v>
      </c>
      <c r="J23" s="59">
        <f t="shared" si="1"/>
        <v>0</v>
      </c>
      <c r="K23" s="59">
        <f t="shared" si="1"/>
        <v>0</v>
      </c>
      <c r="L23" s="59">
        <f t="shared" si="1"/>
        <v>0</v>
      </c>
      <c r="M23" s="59">
        <f t="shared" si="1"/>
        <v>0</v>
      </c>
      <c r="N23" s="59">
        <f t="shared" si="1"/>
        <v>0</v>
      </c>
      <c r="O23" s="59">
        <f t="shared" si="1"/>
        <v>0</v>
      </c>
      <c r="P23" s="59">
        <f t="shared" si="1"/>
        <v>0</v>
      </c>
      <c r="Q23" s="59">
        <f t="shared" si="1"/>
        <v>0</v>
      </c>
      <c r="R23" s="59">
        <f t="shared" si="1"/>
        <v>0</v>
      </c>
      <c r="S23" s="62">
        <f t="shared" si="1"/>
        <v>15000</v>
      </c>
      <c r="T23" s="30"/>
    </row>
    <row r="24" spans="1:20" s="11" customFormat="1" ht="49.5" customHeight="1" x14ac:dyDescent="0.2">
      <c r="A24" s="77" t="s">
        <v>5</v>
      </c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30"/>
    </row>
    <row r="25" spans="1:20" s="11" customFormat="1" ht="55.5" customHeight="1" x14ac:dyDescent="0.2">
      <c r="A25" s="19">
        <v>1</v>
      </c>
      <c r="B25" s="29" t="s">
        <v>50</v>
      </c>
      <c r="C25" s="12">
        <f t="shared" ref="C25:C26" si="2">D25+G25+J25+M25+P25+S25</f>
        <v>24841748.419999998</v>
      </c>
      <c r="D25" s="12">
        <f>SUM(E25:F25)</f>
        <v>6731438.3399999999</v>
      </c>
      <c r="E25" s="68">
        <f>6596742.82+134628.21</f>
        <v>6731371.0300000003</v>
      </c>
      <c r="F25" s="47">
        <v>67.31</v>
      </c>
      <c r="G25" s="12">
        <f>SUM(H25:I25)</f>
        <v>18110310.079999998</v>
      </c>
      <c r="H25" s="12">
        <f>24841500-6731371.03</f>
        <v>18110128.969999999</v>
      </c>
      <c r="I25" s="12">
        <f>248.42-67.31</f>
        <v>181.10999999999999</v>
      </c>
      <c r="J25" s="12">
        <f>SUM(K25:L25)</f>
        <v>0</v>
      </c>
      <c r="K25" s="12">
        <v>0</v>
      </c>
      <c r="L25" s="12">
        <v>0</v>
      </c>
      <c r="M25" s="12">
        <f>SUM(N25:O25)</f>
        <v>0</v>
      </c>
      <c r="N25" s="12">
        <v>0</v>
      </c>
      <c r="O25" s="12">
        <v>0</v>
      </c>
      <c r="P25" s="12">
        <f>SUM(Q25:R25)</f>
        <v>0</v>
      </c>
      <c r="Q25" s="12">
        <v>0</v>
      </c>
      <c r="R25" s="12">
        <v>0</v>
      </c>
      <c r="S25" s="12">
        <v>0</v>
      </c>
      <c r="T25" s="30"/>
    </row>
    <row r="26" spans="1:20" s="11" customFormat="1" ht="55.5" customHeight="1" x14ac:dyDescent="0.2">
      <c r="A26" s="19"/>
      <c r="B26" s="31" t="s">
        <v>37</v>
      </c>
      <c r="C26" s="12">
        <f t="shared" si="2"/>
        <v>3000</v>
      </c>
      <c r="D26" s="12">
        <f>SUM(E26:F26)</f>
        <v>0</v>
      </c>
      <c r="E26" s="47">
        <v>0</v>
      </c>
      <c r="F26" s="47">
        <v>0</v>
      </c>
      <c r="G26" s="12">
        <f>SUM(H26:I26)</f>
        <v>0</v>
      </c>
      <c r="H26" s="12">
        <v>0</v>
      </c>
      <c r="I26" s="12">
        <v>0</v>
      </c>
      <c r="J26" s="12">
        <f>SUM(K26:L26)</f>
        <v>0</v>
      </c>
      <c r="K26" s="12">
        <v>0</v>
      </c>
      <c r="L26" s="12">
        <v>0</v>
      </c>
      <c r="M26" s="12">
        <f>SUM(N26:O26)</f>
        <v>0</v>
      </c>
      <c r="N26" s="12">
        <v>0</v>
      </c>
      <c r="O26" s="12">
        <v>0</v>
      </c>
      <c r="P26" s="12">
        <f>SUM(Q26:R26)</f>
        <v>0</v>
      </c>
      <c r="Q26" s="12">
        <v>0</v>
      </c>
      <c r="R26" s="12">
        <v>0</v>
      </c>
      <c r="S26" s="12">
        <v>3000</v>
      </c>
      <c r="T26" s="30"/>
    </row>
    <row r="27" spans="1:20" s="11" customFormat="1" ht="55.5" customHeight="1" x14ac:dyDescent="0.2">
      <c r="A27" s="27"/>
      <c r="B27" s="1" t="s">
        <v>6</v>
      </c>
      <c r="C27" s="27">
        <f>SUM(C25:C26)</f>
        <v>24844748.419999998</v>
      </c>
      <c r="D27" s="62">
        <f t="shared" ref="D27:S27" si="3">SUM(D25:D26)</f>
        <v>6731438.3399999999</v>
      </c>
      <c r="E27" s="62">
        <f t="shared" si="3"/>
        <v>6731371.0300000003</v>
      </c>
      <c r="F27" s="62">
        <f t="shared" si="3"/>
        <v>67.31</v>
      </c>
      <c r="G27" s="62">
        <f t="shared" si="3"/>
        <v>18110310.079999998</v>
      </c>
      <c r="H27" s="62">
        <f t="shared" si="3"/>
        <v>18110128.969999999</v>
      </c>
      <c r="I27" s="62">
        <f t="shared" si="3"/>
        <v>181.10999999999999</v>
      </c>
      <c r="J27" s="62">
        <f t="shared" si="3"/>
        <v>0</v>
      </c>
      <c r="K27" s="62">
        <f t="shared" si="3"/>
        <v>0</v>
      </c>
      <c r="L27" s="62">
        <f t="shared" si="3"/>
        <v>0</v>
      </c>
      <c r="M27" s="62">
        <f t="shared" si="3"/>
        <v>0</v>
      </c>
      <c r="N27" s="62">
        <f t="shared" si="3"/>
        <v>0</v>
      </c>
      <c r="O27" s="62">
        <f t="shared" si="3"/>
        <v>0</v>
      </c>
      <c r="P27" s="62">
        <f t="shared" si="3"/>
        <v>0</v>
      </c>
      <c r="Q27" s="62">
        <f t="shared" si="3"/>
        <v>0</v>
      </c>
      <c r="R27" s="62">
        <f t="shared" si="3"/>
        <v>0</v>
      </c>
      <c r="S27" s="62">
        <f t="shared" si="3"/>
        <v>3000</v>
      </c>
      <c r="T27" s="30"/>
    </row>
    <row r="28" spans="1:20" s="11" customFormat="1" ht="55.5" customHeight="1" x14ac:dyDescent="0.2">
      <c r="A28" s="73" t="s">
        <v>8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30"/>
    </row>
    <row r="29" spans="1:20" s="11" customFormat="1" ht="105.75" customHeight="1" x14ac:dyDescent="0.2">
      <c r="A29" s="10">
        <v>1</v>
      </c>
      <c r="B29" s="1" t="s">
        <v>42</v>
      </c>
      <c r="C29" s="12">
        <f t="shared" ref="C29:C30" si="4">D29+G29+J29+M29+P29+S29</f>
        <v>302846455.97000003</v>
      </c>
      <c r="D29" s="27">
        <f>SUM(E29:F29)</f>
        <v>0</v>
      </c>
      <c r="E29" s="27">
        <v>0</v>
      </c>
      <c r="F29" s="27">
        <v>0</v>
      </c>
      <c r="G29" s="27">
        <f>SUM(H29:I29)</f>
        <v>302846455.97000003</v>
      </c>
      <c r="H29" s="27">
        <f>310000000-4114958.85-3041613.65</f>
        <v>302843427.5</v>
      </c>
      <c r="I29" s="27">
        <f>3100.04-41.15-30.42</f>
        <v>3028.47</v>
      </c>
      <c r="J29" s="27">
        <f>SUM(K29:L29)</f>
        <v>0</v>
      </c>
      <c r="K29" s="27">
        <v>0</v>
      </c>
      <c r="L29" s="27">
        <v>0</v>
      </c>
      <c r="M29" s="12">
        <f t="shared" ref="M29:M30" si="5">SUM(N29:O29)</f>
        <v>0</v>
      </c>
      <c r="N29" s="27">
        <v>0</v>
      </c>
      <c r="O29" s="27">
        <v>0</v>
      </c>
      <c r="P29" s="27">
        <f>SUM(Q29:R29)</f>
        <v>0</v>
      </c>
      <c r="Q29" s="27">
        <v>0</v>
      </c>
      <c r="R29" s="27">
        <v>0</v>
      </c>
      <c r="S29" s="27">
        <v>0</v>
      </c>
      <c r="T29" s="61">
        <f>H29</f>
        <v>302843427.5</v>
      </c>
    </row>
    <row r="30" spans="1:20" s="11" customFormat="1" ht="65.25" customHeight="1" x14ac:dyDescent="0.2">
      <c r="A30" s="10"/>
      <c r="B30" s="31" t="s">
        <v>37</v>
      </c>
      <c r="C30" s="12">
        <f t="shared" si="4"/>
        <v>2000</v>
      </c>
      <c r="D30" s="27">
        <f>SUM(E30:F30)</f>
        <v>0</v>
      </c>
      <c r="E30" s="27">
        <v>0</v>
      </c>
      <c r="F30" s="27">
        <v>0</v>
      </c>
      <c r="G30" s="27">
        <f>SUM(H30:I30)</f>
        <v>0</v>
      </c>
      <c r="H30" s="27">
        <v>0</v>
      </c>
      <c r="I30" s="27">
        <v>0</v>
      </c>
      <c r="J30" s="27">
        <f>SUM(K30:L30)</f>
        <v>0</v>
      </c>
      <c r="K30" s="27">
        <v>0</v>
      </c>
      <c r="L30" s="27">
        <v>0</v>
      </c>
      <c r="M30" s="12">
        <f t="shared" si="5"/>
        <v>0</v>
      </c>
      <c r="N30" s="27">
        <v>0</v>
      </c>
      <c r="O30" s="27">
        <v>0</v>
      </c>
      <c r="P30" s="27">
        <f>SUM(Q30:R30)</f>
        <v>0</v>
      </c>
      <c r="Q30" s="27">
        <v>0</v>
      </c>
      <c r="R30" s="27">
        <v>0</v>
      </c>
      <c r="S30" s="27">
        <v>2000</v>
      </c>
      <c r="T30" s="30"/>
    </row>
    <row r="31" spans="1:20" s="11" customFormat="1" ht="55.5" customHeight="1" x14ac:dyDescent="0.2">
      <c r="A31" s="27"/>
      <c r="B31" s="1" t="s">
        <v>43</v>
      </c>
      <c r="C31" s="27">
        <f>SUM(C29:C30)</f>
        <v>302848455.97000003</v>
      </c>
      <c r="D31" s="27">
        <f t="shared" ref="D31:S31" si="6">SUM(D29:D30)</f>
        <v>0</v>
      </c>
      <c r="E31" s="27">
        <f t="shared" si="6"/>
        <v>0</v>
      </c>
      <c r="F31" s="27">
        <f t="shared" si="6"/>
        <v>0</v>
      </c>
      <c r="G31" s="27">
        <f t="shared" si="6"/>
        <v>302846455.97000003</v>
      </c>
      <c r="H31" s="27">
        <f t="shared" si="6"/>
        <v>302843427.5</v>
      </c>
      <c r="I31" s="27">
        <f t="shared" si="6"/>
        <v>3028.47</v>
      </c>
      <c r="J31" s="27">
        <f t="shared" si="6"/>
        <v>0</v>
      </c>
      <c r="K31" s="27">
        <f t="shared" si="6"/>
        <v>0</v>
      </c>
      <c r="L31" s="27">
        <f t="shared" si="6"/>
        <v>0</v>
      </c>
      <c r="M31" s="27">
        <f t="shared" si="6"/>
        <v>0</v>
      </c>
      <c r="N31" s="27">
        <f t="shared" si="6"/>
        <v>0</v>
      </c>
      <c r="O31" s="27">
        <f t="shared" si="6"/>
        <v>0</v>
      </c>
      <c r="P31" s="27">
        <f t="shared" si="6"/>
        <v>0</v>
      </c>
      <c r="Q31" s="27">
        <f t="shared" si="6"/>
        <v>0</v>
      </c>
      <c r="R31" s="27">
        <f t="shared" si="6"/>
        <v>0</v>
      </c>
      <c r="S31" s="62">
        <f t="shared" si="6"/>
        <v>2000</v>
      </c>
      <c r="T31" s="30"/>
    </row>
    <row r="32" spans="1:20" s="11" customFormat="1" ht="55.5" customHeight="1" x14ac:dyDescent="0.2">
      <c r="A32" s="73" t="s">
        <v>9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30"/>
    </row>
    <row r="33" spans="1:20" s="11" customFormat="1" ht="55.5" customHeight="1" x14ac:dyDescent="0.2">
      <c r="A33" s="10">
        <v>1</v>
      </c>
      <c r="B33" s="1" t="s">
        <v>37</v>
      </c>
      <c r="C33" s="12">
        <f>D33+G33+J33+M33+P33+S33</f>
        <v>2000</v>
      </c>
      <c r="D33" s="27">
        <f>SUM(E33:F33)</f>
        <v>0</v>
      </c>
      <c r="E33" s="27">
        <v>0</v>
      </c>
      <c r="F33" s="27">
        <v>0</v>
      </c>
      <c r="G33" s="27">
        <f>SUM(H33:I33)</f>
        <v>0</v>
      </c>
      <c r="H33" s="27">
        <v>0</v>
      </c>
      <c r="I33" s="27">
        <v>0</v>
      </c>
      <c r="J33" s="27">
        <f>SUM(K33:L33)</f>
        <v>0</v>
      </c>
      <c r="K33" s="27">
        <v>0</v>
      </c>
      <c r="L33" s="27">
        <v>0</v>
      </c>
      <c r="M33" s="12">
        <f t="shared" ref="M33" si="7">SUM(N33:O33)</f>
        <v>0</v>
      </c>
      <c r="N33" s="27">
        <v>0</v>
      </c>
      <c r="O33" s="27">
        <v>0</v>
      </c>
      <c r="P33" s="27">
        <f>SUM(Q33:R33)</f>
        <v>0</v>
      </c>
      <c r="Q33" s="27">
        <v>0</v>
      </c>
      <c r="R33" s="27">
        <v>0</v>
      </c>
      <c r="S33" s="27">
        <v>2000</v>
      </c>
      <c r="T33" s="30"/>
    </row>
    <row r="34" spans="1:20" s="11" customFormat="1" ht="55.5" customHeight="1" x14ac:dyDescent="0.2">
      <c r="A34" s="27"/>
      <c r="B34" s="1" t="s">
        <v>38</v>
      </c>
      <c r="C34" s="27">
        <f t="shared" ref="C34:S34" si="8">SUM(C33:C33)</f>
        <v>2000</v>
      </c>
      <c r="D34" s="27">
        <f t="shared" si="8"/>
        <v>0</v>
      </c>
      <c r="E34" s="27">
        <f t="shared" si="8"/>
        <v>0</v>
      </c>
      <c r="F34" s="27">
        <f t="shared" si="8"/>
        <v>0</v>
      </c>
      <c r="G34" s="27">
        <f t="shared" si="8"/>
        <v>0</v>
      </c>
      <c r="H34" s="27">
        <f t="shared" si="8"/>
        <v>0</v>
      </c>
      <c r="I34" s="27">
        <f t="shared" si="8"/>
        <v>0</v>
      </c>
      <c r="J34" s="27">
        <f t="shared" si="8"/>
        <v>0</v>
      </c>
      <c r="K34" s="27">
        <f t="shared" si="8"/>
        <v>0</v>
      </c>
      <c r="L34" s="27">
        <f t="shared" si="8"/>
        <v>0</v>
      </c>
      <c r="M34" s="27">
        <f t="shared" si="8"/>
        <v>0</v>
      </c>
      <c r="N34" s="27">
        <f t="shared" si="8"/>
        <v>0</v>
      </c>
      <c r="O34" s="27">
        <f t="shared" si="8"/>
        <v>0</v>
      </c>
      <c r="P34" s="27">
        <f t="shared" si="8"/>
        <v>0</v>
      </c>
      <c r="Q34" s="27">
        <f t="shared" si="8"/>
        <v>0</v>
      </c>
      <c r="R34" s="27">
        <f t="shared" si="8"/>
        <v>0</v>
      </c>
      <c r="S34" s="62">
        <f t="shared" si="8"/>
        <v>2000</v>
      </c>
      <c r="T34" s="30"/>
    </row>
    <row r="35" spans="1:20" s="11" customFormat="1" ht="55.5" customHeight="1" x14ac:dyDescent="0.2">
      <c r="A35" s="78" t="s">
        <v>10</v>
      </c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30"/>
    </row>
    <row r="36" spans="1:20" s="11" customFormat="1" ht="55.5" customHeight="1" x14ac:dyDescent="0.2">
      <c r="A36" s="66">
        <v>1</v>
      </c>
      <c r="B36" s="67" t="s">
        <v>52</v>
      </c>
      <c r="C36" s="12">
        <f t="shared" ref="C36:C38" si="9">D36+G36+J36+M36+P36+S36</f>
        <v>70238147</v>
      </c>
      <c r="D36" s="57">
        <f>SUM(E36:F36)</f>
        <v>0</v>
      </c>
      <c r="E36" s="44">
        <v>0</v>
      </c>
      <c r="F36" s="57">
        <v>0</v>
      </c>
      <c r="G36" s="57">
        <f>SUM(H36:I36)</f>
        <v>64700647</v>
      </c>
      <c r="H36" s="44">
        <f>7000000+57740000-40000</f>
        <v>64700000</v>
      </c>
      <c r="I36" s="57">
        <f>70+577.41-0.41</f>
        <v>647</v>
      </c>
      <c r="J36" s="57">
        <f>SUM(K36:L36)</f>
        <v>0</v>
      </c>
      <c r="K36" s="57">
        <v>0</v>
      </c>
      <c r="L36" s="57">
        <v>0</v>
      </c>
      <c r="M36" s="12">
        <f t="shared" ref="M36:M40" si="10">SUM(N36:O36)</f>
        <v>0</v>
      </c>
      <c r="N36" s="57">
        <v>0</v>
      </c>
      <c r="O36" s="57">
        <v>0</v>
      </c>
      <c r="P36" s="57">
        <f>SUM(Q36:R36)</f>
        <v>0</v>
      </c>
      <c r="Q36" s="57">
        <v>0</v>
      </c>
      <c r="R36" s="57">
        <v>0</v>
      </c>
      <c r="S36" s="57">
        <v>5537500</v>
      </c>
      <c r="T36" s="36"/>
    </row>
    <row r="37" spans="1:20" s="11" customFormat="1" ht="55.5" customHeight="1" x14ac:dyDescent="0.2">
      <c r="A37" s="10"/>
      <c r="B37" s="45" t="s">
        <v>49</v>
      </c>
      <c r="C37" s="12">
        <f t="shared" si="9"/>
        <v>490000</v>
      </c>
      <c r="D37" s="57">
        <f>SUM(E37:F37)</f>
        <v>0</v>
      </c>
      <c r="E37" s="44">
        <v>0</v>
      </c>
      <c r="F37" s="57">
        <v>0</v>
      </c>
      <c r="G37" s="57">
        <f>SUM(H37:I37)</f>
        <v>0</v>
      </c>
      <c r="H37" s="44">
        <v>0</v>
      </c>
      <c r="I37" s="57">
        <v>0</v>
      </c>
      <c r="J37" s="57">
        <f>SUM(K37:L37)</f>
        <v>0</v>
      </c>
      <c r="K37" s="57">
        <v>0</v>
      </c>
      <c r="L37" s="57">
        <v>0</v>
      </c>
      <c r="M37" s="12">
        <f t="shared" si="10"/>
        <v>0</v>
      </c>
      <c r="N37" s="57">
        <v>0</v>
      </c>
      <c r="O37" s="57">
        <v>0</v>
      </c>
      <c r="P37" s="57">
        <f>SUM(Q37:R37)</f>
        <v>0</v>
      </c>
      <c r="Q37" s="57">
        <v>0</v>
      </c>
      <c r="R37" s="57">
        <v>0</v>
      </c>
      <c r="S37" s="57">
        <v>490000</v>
      </c>
      <c r="T37" s="36"/>
    </row>
    <row r="38" spans="1:20" s="11" customFormat="1" ht="66" customHeight="1" x14ac:dyDescent="0.2">
      <c r="A38" s="10">
        <v>2</v>
      </c>
      <c r="B38" s="45" t="s">
        <v>53</v>
      </c>
      <c r="C38" s="12">
        <f t="shared" si="9"/>
        <v>22152000</v>
      </c>
      <c r="D38" s="57">
        <f>SUM(E38:F38)</f>
        <v>3520000</v>
      </c>
      <c r="E38" s="44">
        <f>3449564.8+70400</f>
        <v>3519964.8</v>
      </c>
      <c r="F38" s="57">
        <v>35.200000000000003</v>
      </c>
      <c r="G38" s="57">
        <f>SUM(H38:I38)</f>
        <v>11632000</v>
      </c>
      <c r="H38" s="44">
        <f>8590270.03+3041613.65</f>
        <v>11631883.68</v>
      </c>
      <c r="I38" s="57">
        <f>85.9+30.42</f>
        <v>116.32000000000001</v>
      </c>
      <c r="J38" s="57">
        <f>SUM(K38:L38)</f>
        <v>0</v>
      </c>
      <c r="K38" s="57">
        <v>0</v>
      </c>
      <c r="L38" s="57">
        <v>0</v>
      </c>
      <c r="M38" s="12">
        <f t="shared" si="10"/>
        <v>7000000</v>
      </c>
      <c r="N38" s="57">
        <v>7000000</v>
      </c>
      <c r="O38" s="57">
        <v>0</v>
      </c>
      <c r="P38" s="57">
        <f>SUM(Q38:R38)</f>
        <v>0</v>
      </c>
      <c r="Q38" s="57">
        <v>0</v>
      </c>
      <c r="R38" s="57">
        <v>0</v>
      </c>
      <c r="S38" s="57">
        <v>0</v>
      </c>
      <c r="T38" s="61">
        <f>E38+H38</f>
        <v>15151848.48</v>
      </c>
    </row>
    <row r="39" spans="1:20" s="11" customFormat="1" ht="66" customHeight="1" x14ac:dyDescent="0.2">
      <c r="A39" s="49"/>
      <c r="B39" s="50" t="s">
        <v>58</v>
      </c>
      <c r="C39" s="12">
        <f>D39+G39+J39+M39+P39+S39</f>
        <v>39500</v>
      </c>
      <c r="D39" s="62">
        <f>SUM(E39:F39)</f>
        <v>0</v>
      </c>
      <c r="E39" s="44">
        <v>0</v>
      </c>
      <c r="F39" s="57">
        <v>0</v>
      </c>
      <c r="G39" s="62">
        <f>SUM(H39:I39)</f>
        <v>0</v>
      </c>
      <c r="H39" s="44">
        <v>0</v>
      </c>
      <c r="I39" s="57">
        <v>0</v>
      </c>
      <c r="J39" s="62">
        <f>SUM(K39:L39)</f>
        <v>0</v>
      </c>
      <c r="K39" s="57">
        <v>0</v>
      </c>
      <c r="L39" s="57">
        <v>0</v>
      </c>
      <c r="M39" s="12">
        <f t="shared" si="10"/>
        <v>0</v>
      </c>
      <c r="N39" s="57">
        <v>0</v>
      </c>
      <c r="O39" s="57">
        <v>0</v>
      </c>
      <c r="P39" s="62">
        <f>SUM(Q39:R39)</f>
        <v>0</v>
      </c>
      <c r="Q39" s="57">
        <v>0</v>
      </c>
      <c r="R39" s="57">
        <v>0</v>
      </c>
      <c r="S39" s="57">
        <v>39500</v>
      </c>
      <c r="T39" s="61"/>
    </row>
    <row r="40" spans="1:20" s="11" customFormat="1" ht="66" customHeight="1" x14ac:dyDescent="0.2">
      <c r="A40" s="66"/>
      <c r="B40" s="1" t="s">
        <v>37</v>
      </c>
      <c r="C40" s="12">
        <f>D40+G40+J40+M40+P40+S40</f>
        <v>6000</v>
      </c>
      <c r="D40" s="69">
        <f>SUM(E40:F40)</f>
        <v>0</v>
      </c>
      <c r="E40" s="44">
        <v>0</v>
      </c>
      <c r="F40" s="69">
        <v>0</v>
      </c>
      <c r="G40" s="69">
        <f>SUM(H40:I40)</f>
        <v>0</v>
      </c>
      <c r="H40" s="44">
        <v>0</v>
      </c>
      <c r="I40" s="69">
        <v>0</v>
      </c>
      <c r="J40" s="69">
        <f>SUM(K40:L40)</f>
        <v>0</v>
      </c>
      <c r="K40" s="69">
        <v>0</v>
      </c>
      <c r="L40" s="69">
        <v>0</v>
      </c>
      <c r="M40" s="12">
        <f t="shared" si="10"/>
        <v>0</v>
      </c>
      <c r="N40" s="69">
        <v>0</v>
      </c>
      <c r="O40" s="69">
        <v>0</v>
      </c>
      <c r="P40" s="69">
        <f>SUM(Q40:R40)</f>
        <v>0</v>
      </c>
      <c r="Q40" s="69">
        <v>0</v>
      </c>
      <c r="R40" s="69">
        <v>0</v>
      </c>
      <c r="S40" s="69">
        <v>6000</v>
      </c>
      <c r="T40" s="61"/>
    </row>
    <row r="41" spans="1:20" s="11" customFormat="1" ht="55.5" customHeight="1" x14ac:dyDescent="0.2">
      <c r="A41" s="27"/>
      <c r="B41" s="1" t="s">
        <v>11</v>
      </c>
      <c r="C41" s="27">
        <f>SUM(C36:C40)</f>
        <v>92925647</v>
      </c>
      <c r="D41" s="69">
        <f t="shared" ref="D41:S41" si="11">SUM(D36:D40)</f>
        <v>3520000</v>
      </c>
      <c r="E41" s="69">
        <f t="shared" si="11"/>
        <v>3519964.8</v>
      </c>
      <c r="F41" s="69">
        <f t="shared" si="11"/>
        <v>35.200000000000003</v>
      </c>
      <c r="G41" s="69">
        <f t="shared" si="11"/>
        <v>76332647</v>
      </c>
      <c r="H41" s="69">
        <f t="shared" si="11"/>
        <v>76331883.680000007</v>
      </c>
      <c r="I41" s="69">
        <f t="shared" si="11"/>
        <v>763.32</v>
      </c>
      <c r="J41" s="69">
        <f t="shared" si="11"/>
        <v>0</v>
      </c>
      <c r="K41" s="69">
        <f t="shared" si="11"/>
        <v>0</v>
      </c>
      <c r="L41" s="69">
        <f t="shared" si="11"/>
        <v>0</v>
      </c>
      <c r="M41" s="69">
        <f t="shared" si="11"/>
        <v>7000000</v>
      </c>
      <c r="N41" s="69">
        <f t="shared" si="11"/>
        <v>7000000</v>
      </c>
      <c r="O41" s="69">
        <f t="shared" si="11"/>
        <v>0</v>
      </c>
      <c r="P41" s="69">
        <f t="shared" si="11"/>
        <v>0</v>
      </c>
      <c r="Q41" s="69">
        <f t="shared" si="11"/>
        <v>0</v>
      </c>
      <c r="R41" s="69">
        <f t="shared" si="11"/>
        <v>0</v>
      </c>
      <c r="S41" s="69">
        <f t="shared" si="11"/>
        <v>6073000</v>
      </c>
      <c r="T41" s="30"/>
    </row>
    <row r="42" spans="1:20" s="11" customFormat="1" ht="55.5" customHeight="1" x14ac:dyDescent="0.2">
      <c r="A42" s="73" t="s">
        <v>12</v>
      </c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30"/>
    </row>
    <row r="43" spans="1:20" s="11" customFormat="1" ht="55.5" customHeight="1" x14ac:dyDescent="0.2">
      <c r="A43" s="10">
        <v>1</v>
      </c>
      <c r="B43" s="1" t="s">
        <v>39</v>
      </c>
      <c r="C43" s="12">
        <f t="shared" ref="C43:C44" si="12">D43+G43+J43+M43+P43+S43</f>
        <v>1200000</v>
      </c>
      <c r="D43" s="27">
        <f>SUM(E43:F43)</f>
        <v>0</v>
      </c>
      <c r="E43" s="27">
        <v>0</v>
      </c>
      <c r="F43" s="27">
        <v>0</v>
      </c>
      <c r="G43" s="27">
        <f>SUM(H43:I43)</f>
        <v>0</v>
      </c>
      <c r="H43" s="27">
        <v>0</v>
      </c>
      <c r="I43" s="27">
        <v>0</v>
      </c>
      <c r="J43" s="27">
        <f>SUM(K43:L43)</f>
        <v>0</v>
      </c>
      <c r="K43" s="27">
        <v>0</v>
      </c>
      <c r="L43" s="27">
        <v>0</v>
      </c>
      <c r="M43" s="12">
        <f t="shared" ref="M43:M44" si="13">SUM(N43:O43)</f>
        <v>0</v>
      </c>
      <c r="N43" s="27">
        <v>0</v>
      </c>
      <c r="O43" s="27">
        <v>0</v>
      </c>
      <c r="P43" s="27">
        <f>SUM(Q43:R43)</f>
        <v>0</v>
      </c>
      <c r="Q43" s="27">
        <v>0</v>
      </c>
      <c r="R43" s="27">
        <v>0</v>
      </c>
      <c r="S43" s="27">
        <v>1200000</v>
      </c>
      <c r="T43" s="30"/>
    </row>
    <row r="44" spans="1:20" s="11" customFormat="1" ht="72.75" customHeight="1" x14ac:dyDescent="0.2">
      <c r="A44" s="10">
        <v>2</v>
      </c>
      <c r="B44" s="1" t="s">
        <v>64</v>
      </c>
      <c r="C44" s="12">
        <f t="shared" si="12"/>
        <v>3409764.0700000008</v>
      </c>
      <c r="D44" s="27">
        <f>SUM(E44:F44)</f>
        <v>0</v>
      </c>
      <c r="E44" s="27">
        <v>0</v>
      </c>
      <c r="F44" s="27">
        <v>0</v>
      </c>
      <c r="G44" s="27">
        <f>SUM(H44:I44)</f>
        <v>3409764.0700000008</v>
      </c>
      <c r="H44" s="27">
        <f>12000000-8590270.03</f>
        <v>3409729.9700000007</v>
      </c>
      <c r="I44" s="27">
        <f>120-85.9</f>
        <v>34.099999999999994</v>
      </c>
      <c r="J44" s="27">
        <f>SUM(K44:L44)</f>
        <v>0</v>
      </c>
      <c r="K44" s="27">
        <v>0</v>
      </c>
      <c r="L44" s="27">
        <v>0</v>
      </c>
      <c r="M44" s="12">
        <f t="shared" si="13"/>
        <v>0</v>
      </c>
      <c r="N44" s="27">
        <v>0</v>
      </c>
      <c r="O44" s="27">
        <v>0</v>
      </c>
      <c r="P44" s="27">
        <f>SUM(Q44:R44)</f>
        <v>0</v>
      </c>
      <c r="Q44" s="27">
        <v>0</v>
      </c>
      <c r="R44" s="27">
        <v>0</v>
      </c>
      <c r="S44" s="27">
        <v>0</v>
      </c>
      <c r="T44" s="39"/>
    </row>
    <row r="45" spans="1:20" s="11" customFormat="1" ht="55.5" customHeight="1" x14ac:dyDescent="0.2">
      <c r="A45" s="27"/>
      <c r="B45" s="1" t="s">
        <v>40</v>
      </c>
      <c r="C45" s="27">
        <f t="shared" ref="C45:S45" si="14">SUM(C43:C44)</f>
        <v>4609764.07</v>
      </c>
      <c r="D45" s="27">
        <f t="shared" si="14"/>
        <v>0</v>
      </c>
      <c r="E45" s="27">
        <f t="shared" si="14"/>
        <v>0</v>
      </c>
      <c r="F45" s="27">
        <f t="shared" si="14"/>
        <v>0</v>
      </c>
      <c r="G45" s="27">
        <f t="shared" si="14"/>
        <v>3409764.0700000008</v>
      </c>
      <c r="H45" s="27">
        <f t="shared" si="14"/>
        <v>3409729.9700000007</v>
      </c>
      <c r="I45" s="27">
        <f t="shared" si="14"/>
        <v>34.099999999999994</v>
      </c>
      <c r="J45" s="27">
        <f t="shared" si="14"/>
        <v>0</v>
      </c>
      <c r="K45" s="27">
        <f t="shared" si="14"/>
        <v>0</v>
      </c>
      <c r="L45" s="27">
        <f t="shared" si="14"/>
        <v>0</v>
      </c>
      <c r="M45" s="27">
        <f t="shared" si="14"/>
        <v>0</v>
      </c>
      <c r="N45" s="27">
        <f t="shared" si="14"/>
        <v>0</v>
      </c>
      <c r="O45" s="27">
        <f t="shared" si="14"/>
        <v>0</v>
      </c>
      <c r="P45" s="27">
        <f t="shared" si="14"/>
        <v>0</v>
      </c>
      <c r="Q45" s="27">
        <f t="shared" si="14"/>
        <v>0</v>
      </c>
      <c r="R45" s="27">
        <f t="shared" si="14"/>
        <v>0</v>
      </c>
      <c r="S45" s="62">
        <f t="shared" si="14"/>
        <v>1200000</v>
      </c>
      <c r="T45" s="30"/>
    </row>
    <row r="46" spans="1:20" s="11" customFormat="1" ht="55.5" customHeight="1" x14ac:dyDescent="0.2">
      <c r="A46" s="73" t="s">
        <v>46</v>
      </c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30"/>
    </row>
    <row r="47" spans="1:20" s="11" customFormat="1" ht="99" customHeight="1" x14ac:dyDescent="0.2">
      <c r="A47" s="52">
        <v>1</v>
      </c>
      <c r="B47" s="53" t="s">
        <v>47</v>
      </c>
      <c r="C47" s="12">
        <f>D47+G47+J47+M47+P47+S47</f>
        <v>5202054.9999999991</v>
      </c>
      <c r="D47" s="55">
        <f>SUM(E47:F47)</f>
        <v>5202054.9999999991</v>
      </c>
      <c r="E47" s="55">
        <f>10832216.68-5517608.3-112605.4</f>
        <v>5202002.9799999995</v>
      </c>
      <c r="F47" s="55">
        <f>108.32-56.3</f>
        <v>52.019999999999996</v>
      </c>
      <c r="G47" s="55">
        <f>SUM(H47:I47)</f>
        <v>0</v>
      </c>
      <c r="H47" s="55">
        <v>0</v>
      </c>
      <c r="I47" s="55">
        <v>0</v>
      </c>
      <c r="J47" s="55">
        <f>SUM(K47:L47)</f>
        <v>0</v>
      </c>
      <c r="K47" s="55">
        <v>0</v>
      </c>
      <c r="L47" s="55">
        <v>0</v>
      </c>
      <c r="M47" s="54">
        <f t="shared" ref="M47" si="15">SUM(N47:O47)</f>
        <v>0</v>
      </c>
      <c r="N47" s="55">
        <v>0</v>
      </c>
      <c r="O47" s="55">
        <v>0</v>
      </c>
      <c r="P47" s="55">
        <f>SUM(Q47:R47)</f>
        <v>0</v>
      </c>
      <c r="Q47" s="55">
        <v>0</v>
      </c>
      <c r="R47" s="55">
        <v>0</v>
      </c>
      <c r="S47" s="55">
        <v>0</v>
      </c>
      <c r="T47" s="39"/>
    </row>
    <row r="48" spans="1:20" s="11" customFormat="1" ht="55.5" customHeight="1" x14ac:dyDescent="0.2">
      <c r="A48" s="55"/>
      <c r="B48" s="53" t="s">
        <v>48</v>
      </c>
      <c r="C48" s="55">
        <f>SUM(C47)</f>
        <v>5202054.9999999991</v>
      </c>
      <c r="D48" s="55">
        <f t="shared" ref="D48:S48" si="16">SUM(D47)</f>
        <v>5202054.9999999991</v>
      </c>
      <c r="E48" s="55">
        <f t="shared" si="16"/>
        <v>5202002.9799999995</v>
      </c>
      <c r="F48" s="55">
        <f t="shared" si="16"/>
        <v>52.019999999999996</v>
      </c>
      <c r="G48" s="55">
        <f t="shared" si="16"/>
        <v>0</v>
      </c>
      <c r="H48" s="55">
        <f t="shared" si="16"/>
        <v>0</v>
      </c>
      <c r="I48" s="55">
        <f t="shared" si="16"/>
        <v>0</v>
      </c>
      <c r="J48" s="55">
        <f t="shared" si="16"/>
        <v>0</v>
      </c>
      <c r="K48" s="55">
        <f t="shared" si="16"/>
        <v>0</v>
      </c>
      <c r="L48" s="55">
        <f t="shared" si="16"/>
        <v>0</v>
      </c>
      <c r="M48" s="55">
        <f t="shared" si="16"/>
        <v>0</v>
      </c>
      <c r="N48" s="55">
        <f t="shared" si="16"/>
        <v>0</v>
      </c>
      <c r="O48" s="55">
        <f t="shared" si="16"/>
        <v>0</v>
      </c>
      <c r="P48" s="55">
        <f t="shared" si="16"/>
        <v>0</v>
      </c>
      <c r="Q48" s="55">
        <f t="shared" si="16"/>
        <v>0</v>
      </c>
      <c r="R48" s="55">
        <f t="shared" si="16"/>
        <v>0</v>
      </c>
      <c r="S48" s="55">
        <f t="shared" si="16"/>
        <v>0</v>
      </c>
      <c r="T48" s="30"/>
    </row>
    <row r="49" spans="1:20" s="11" customFormat="1" ht="27" customHeight="1" x14ac:dyDescent="0.2">
      <c r="A49" s="75" t="s">
        <v>14</v>
      </c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30"/>
    </row>
    <row r="50" spans="1:20" s="11" customFormat="1" ht="52.5" customHeight="1" x14ac:dyDescent="0.2">
      <c r="A50" s="56">
        <v>1</v>
      </c>
      <c r="B50" s="53" t="s">
        <v>27</v>
      </c>
      <c r="C50" s="12">
        <f t="shared" ref="C50" si="17">D50+G50+J50+M50+P50+S50</f>
        <v>231464839.50999999</v>
      </c>
      <c r="D50" s="28">
        <f>SUM(E50:F50)</f>
        <v>185825619.44999999</v>
      </c>
      <c r="E50" s="48">
        <f>190444883.32+2068043.5+42205.4-4911410.05-1783561.95-36399.03</f>
        <v>185823761.19</v>
      </c>
      <c r="F50" s="48">
        <f>1904.47+21.1-49.11-18.2</f>
        <v>1858.26</v>
      </c>
      <c r="G50" s="48">
        <f>I50+H50</f>
        <v>15344405.57</v>
      </c>
      <c r="H50" s="48">
        <f>15344252.13</f>
        <v>15344252.130000001</v>
      </c>
      <c r="I50" s="48">
        <f>153.44</f>
        <v>153.44</v>
      </c>
      <c r="J50" s="28">
        <f>SUM(K50:L50)</f>
        <v>28107514.489999998</v>
      </c>
      <c r="K50" s="28">
        <f>28107514.45+0.04</f>
        <v>28107514.489999998</v>
      </c>
      <c r="L50" s="28">
        <v>0</v>
      </c>
      <c r="M50" s="54">
        <f t="shared" ref="M50" si="18">SUM(N50:O50)</f>
        <v>0</v>
      </c>
      <c r="N50" s="55">
        <v>0</v>
      </c>
      <c r="O50" s="55">
        <v>0</v>
      </c>
      <c r="P50" s="28">
        <f>SUM(Q50:R50)</f>
        <v>0</v>
      </c>
      <c r="Q50" s="28">
        <v>0</v>
      </c>
      <c r="R50" s="28">
        <v>0</v>
      </c>
      <c r="S50" s="48">
        <v>2187300</v>
      </c>
      <c r="T50" s="46"/>
    </row>
    <row r="51" spans="1:20" s="11" customFormat="1" ht="64.5" customHeight="1" x14ac:dyDescent="0.2">
      <c r="A51" s="56">
        <v>2</v>
      </c>
      <c r="B51" s="53" t="s">
        <v>28</v>
      </c>
      <c r="C51" s="12">
        <f>D51+G51+J51+M51+P51+S51</f>
        <v>887911670.19000006</v>
      </c>
      <c r="D51" s="28">
        <f>SUM(E51:F51)</f>
        <v>193805738.06</v>
      </c>
      <c r="E51" s="28">
        <v>193803800</v>
      </c>
      <c r="F51" s="28">
        <v>1938.06</v>
      </c>
      <c r="G51" s="48">
        <f>H51+I51</f>
        <v>672010632.08000004</v>
      </c>
      <c r="H51" s="48">
        <f>666328300+408150+5267461.87</f>
        <v>672003911.87</v>
      </c>
      <c r="I51" s="48">
        <f>6663.45+4.08+52.68</f>
        <v>6720.21</v>
      </c>
      <c r="J51" s="28">
        <f>SUM(K51:L51)</f>
        <v>0</v>
      </c>
      <c r="K51" s="28">
        <v>0</v>
      </c>
      <c r="L51" s="28">
        <v>0</v>
      </c>
      <c r="M51" s="54">
        <f t="shared" ref="M51" si="19">SUM(N51:O51)</f>
        <v>0</v>
      </c>
      <c r="N51" s="55">
        <v>0</v>
      </c>
      <c r="O51" s="55">
        <v>0</v>
      </c>
      <c r="P51" s="28">
        <f>SUM(Q51:R51)</f>
        <v>0</v>
      </c>
      <c r="Q51" s="28">
        <v>0</v>
      </c>
      <c r="R51" s="28">
        <v>0</v>
      </c>
      <c r="S51" s="28">
        <f>22050100.05+45300-100</f>
        <v>22095300.050000001</v>
      </c>
      <c r="T51" s="46"/>
    </row>
    <row r="52" spans="1:20" s="11" customFormat="1" ht="54" customHeight="1" x14ac:dyDescent="0.2">
      <c r="A52" s="9"/>
      <c r="B52" s="1" t="s">
        <v>19</v>
      </c>
      <c r="C52" s="27">
        <f>SUM(C50:C51)</f>
        <v>1119376509.7</v>
      </c>
      <c r="D52" s="59">
        <f t="shared" ref="D52:S52" si="20">SUM(D50:D51)</f>
        <v>379631357.50999999</v>
      </c>
      <c r="E52" s="59">
        <f t="shared" si="20"/>
        <v>379627561.19</v>
      </c>
      <c r="F52" s="59">
        <f t="shared" si="20"/>
        <v>3796.3199999999997</v>
      </c>
      <c r="G52" s="59">
        <f t="shared" si="20"/>
        <v>687355037.6500001</v>
      </c>
      <c r="H52" s="59">
        <f t="shared" si="20"/>
        <v>687348164</v>
      </c>
      <c r="I52" s="59">
        <f t="shared" si="20"/>
        <v>6873.65</v>
      </c>
      <c r="J52" s="59">
        <f t="shared" si="20"/>
        <v>28107514.489999998</v>
      </c>
      <c r="K52" s="59">
        <f t="shared" si="20"/>
        <v>28107514.489999998</v>
      </c>
      <c r="L52" s="59">
        <f t="shared" si="20"/>
        <v>0</v>
      </c>
      <c r="M52" s="59">
        <f t="shared" si="20"/>
        <v>0</v>
      </c>
      <c r="N52" s="59">
        <f t="shared" si="20"/>
        <v>0</v>
      </c>
      <c r="O52" s="59">
        <f t="shared" si="20"/>
        <v>0</v>
      </c>
      <c r="P52" s="59">
        <f t="shared" si="20"/>
        <v>0</v>
      </c>
      <c r="Q52" s="59">
        <f t="shared" si="20"/>
        <v>0</v>
      </c>
      <c r="R52" s="59">
        <f t="shared" si="20"/>
        <v>0</v>
      </c>
      <c r="S52" s="62">
        <f t="shared" si="20"/>
        <v>24282600.050000001</v>
      </c>
      <c r="T52" s="30"/>
    </row>
    <row r="53" spans="1:20" s="11" customFormat="1" ht="54" customHeight="1" x14ac:dyDescent="0.2">
      <c r="A53" s="79" t="s">
        <v>59</v>
      </c>
      <c r="B53" s="80"/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1"/>
      <c r="T53" s="30"/>
    </row>
    <row r="54" spans="1:20" s="11" customFormat="1" ht="66" customHeight="1" x14ac:dyDescent="0.2">
      <c r="A54" s="63">
        <v>1</v>
      </c>
      <c r="B54" s="1" t="s">
        <v>63</v>
      </c>
      <c r="C54" s="12">
        <f t="shared" ref="C54:C56" si="21">D54+G54+J54+M54+P54+S54</f>
        <v>2091275</v>
      </c>
      <c r="D54" s="65">
        <f>SUM(E54:F54)</f>
        <v>0</v>
      </c>
      <c r="E54" s="28">
        <v>0</v>
      </c>
      <c r="F54" s="28">
        <v>0</v>
      </c>
      <c r="G54" s="65">
        <f>SUM(H54:I54)</f>
        <v>2091275</v>
      </c>
      <c r="H54" s="65">
        <v>2091254.09</v>
      </c>
      <c r="I54" s="65">
        <v>20.91</v>
      </c>
      <c r="J54" s="65">
        <f>SUM(K54:L54)</f>
        <v>0</v>
      </c>
      <c r="K54" s="65">
        <v>0</v>
      </c>
      <c r="L54" s="65">
        <v>0</v>
      </c>
      <c r="M54" s="65">
        <f>SUM(N54:O54)</f>
        <v>0</v>
      </c>
      <c r="N54" s="65">
        <v>0</v>
      </c>
      <c r="O54" s="65">
        <v>0</v>
      </c>
      <c r="P54" s="65">
        <f>SUM(Q54:R54)</f>
        <v>0</v>
      </c>
      <c r="Q54" s="65">
        <v>0</v>
      </c>
      <c r="R54" s="65">
        <v>0</v>
      </c>
      <c r="S54" s="65">
        <v>0</v>
      </c>
      <c r="T54" s="30"/>
    </row>
    <row r="55" spans="1:20" s="11" customFormat="1" ht="54" customHeight="1" x14ac:dyDescent="0.2">
      <c r="A55" s="63">
        <v>2</v>
      </c>
      <c r="B55" s="1" t="s">
        <v>60</v>
      </c>
      <c r="C55" s="12">
        <f t="shared" si="21"/>
        <v>2228922</v>
      </c>
      <c r="D55" s="65">
        <f t="shared" ref="D55:D56" si="22">SUM(E55:F55)</f>
        <v>0</v>
      </c>
      <c r="E55" s="28">
        <v>0</v>
      </c>
      <c r="F55" s="28">
        <v>0</v>
      </c>
      <c r="G55" s="65">
        <f t="shared" ref="G55:G56" si="23">SUM(H55:I55)</f>
        <v>2228922</v>
      </c>
      <c r="H55" s="65">
        <v>2228899.71</v>
      </c>
      <c r="I55" s="65">
        <v>22.29</v>
      </c>
      <c r="J55" s="65">
        <f t="shared" ref="J55:J56" si="24">SUM(K55:L55)</f>
        <v>0</v>
      </c>
      <c r="K55" s="65">
        <v>0</v>
      </c>
      <c r="L55" s="65">
        <v>0</v>
      </c>
      <c r="M55" s="65">
        <f t="shared" ref="M55:M56" si="25">SUM(N55:O55)</f>
        <v>0</v>
      </c>
      <c r="N55" s="65">
        <v>0</v>
      </c>
      <c r="O55" s="65">
        <v>0</v>
      </c>
      <c r="P55" s="65">
        <f t="shared" ref="P55:P56" si="26">SUM(Q55:R55)</f>
        <v>0</v>
      </c>
      <c r="Q55" s="65">
        <v>0</v>
      </c>
      <c r="R55" s="65">
        <v>0</v>
      </c>
      <c r="S55" s="65">
        <v>0</v>
      </c>
      <c r="T55" s="30"/>
    </row>
    <row r="56" spans="1:20" s="11" customFormat="1" ht="73.5" customHeight="1" x14ac:dyDescent="0.2">
      <c r="A56" s="63">
        <v>3</v>
      </c>
      <c r="B56" s="1" t="s">
        <v>61</v>
      </c>
      <c r="C56" s="12">
        <f t="shared" si="21"/>
        <v>591262.16</v>
      </c>
      <c r="D56" s="65">
        <f t="shared" si="22"/>
        <v>0</v>
      </c>
      <c r="E56" s="28">
        <v>0</v>
      </c>
      <c r="F56" s="28">
        <v>0</v>
      </c>
      <c r="G56" s="65">
        <f t="shared" si="23"/>
        <v>591262.16</v>
      </c>
      <c r="H56" s="65">
        <v>591256.25</v>
      </c>
      <c r="I56" s="65">
        <v>5.91</v>
      </c>
      <c r="J56" s="65">
        <f t="shared" si="24"/>
        <v>0</v>
      </c>
      <c r="K56" s="65">
        <v>0</v>
      </c>
      <c r="L56" s="65">
        <v>0</v>
      </c>
      <c r="M56" s="65">
        <f t="shared" si="25"/>
        <v>0</v>
      </c>
      <c r="N56" s="65">
        <v>0</v>
      </c>
      <c r="O56" s="65">
        <v>0</v>
      </c>
      <c r="P56" s="65">
        <f t="shared" si="26"/>
        <v>0</v>
      </c>
      <c r="Q56" s="65">
        <v>0</v>
      </c>
      <c r="R56" s="65">
        <v>0</v>
      </c>
      <c r="S56" s="65">
        <v>0</v>
      </c>
      <c r="T56" s="30"/>
    </row>
    <row r="57" spans="1:20" s="11" customFormat="1" ht="54" customHeight="1" x14ac:dyDescent="0.2">
      <c r="A57" s="63"/>
      <c r="B57" s="1" t="s">
        <v>62</v>
      </c>
      <c r="C57" s="65">
        <f>SUM(C54:C56)</f>
        <v>4911459.16</v>
      </c>
      <c r="D57" s="65">
        <f t="shared" ref="D57:S57" si="27">SUM(D54:D56)</f>
        <v>0</v>
      </c>
      <c r="E57" s="65">
        <f t="shared" si="27"/>
        <v>0</v>
      </c>
      <c r="F57" s="65">
        <f t="shared" si="27"/>
        <v>0</v>
      </c>
      <c r="G57" s="65">
        <f t="shared" si="27"/>
        <v>4911459.16</v>
      </c>
      <c r="H57" s="65">
        <f t="shared" si="27"/>
        <v>4911410.05</v>
      </c>
      <c r="I57" s="65">
        <f t="shared" si="27"/>
        <v>49.11</v>
      </c>
      <c r="J57" s="65">
        <f t="shared" si="27"/>
        <v>0</v>
      </c>
      <c r="K57" s="65">
        <f t="shared" si="27"/>
        <v>0</v>
      </c>
      <c r="L57" s="65">
        <f t="shared" si="27"/>
        <v>0</v>
      </c>
      <c r="M57" s="65">
        <f t="shared" si="27"/>
        <v>0</v>
      </c>
      <c r="N57" s="65">
        <f t="shared" si="27"/>
        <v>0</v>
      </c>
      <c r="O57" s="65">
        <f t="shared" si="27"/>
        <v>0</v>
      </c>
      <c r="P57" s="65">
        <f t="shared" si="27"/>
        <v>0</v>
      </c>
      <c r="Q57" s="65">
        <f t="shared" si="27"/>
        <v>0</v>
      </c>
      <c r="R57" s="65">
        <f t="shared" si="27"/>
        <v>0</v>
      </c>
      <c r="S57" s="65">
        <f t="shared" si="27"/>
        <v>0</v>
      </c>
      <c r="T57" s="30"/>
    </row>
    <row r="58" spans="1:20" s="11" customFormat="1" ht="51" customHeight="1" x14ac:dyDescent="0.2">
      <c r="A58" s="9"/>
      <c r="B58" s="1" t="s">
        <v>20</v>
      </c>
      <c r="C58" s="41">
        <f>C23+C52+C48+C45+C41+C34+C31+C27+C57</f>
        <v>1557965639.3200002</v>
      </c>
      <c r="D58" s="65">
        <f t="shared" ref="D58:R58" si="28">D23+D52+D48+D45+D41+D34+D31+D27+D57</f>
        <v>395084850.84999996</v>
      </c>
      <c r="E58" s="65">
        <f t="shared" si="28"/>
        <v>395080900</v>
      </c>
      <c r="F58" s="65">
        <f t="shared" si="28"/>
        <v>3950.8499999999995</v>
      </c>
      <c r="G58" s="65">
        <f t="shared" si="28"/>
        <v>1096195673.9300003</v>
      </c>
      <c r="H58" s="65">
        <f t="shared" si="28"/>
        <v>1096184711.8700001</v>
      </c>
      <c r="I58" s="65">
        <f t="shared" si="28"/>
        <v>10962.060000000001</v>
      </c>
      <c r="J58" s="65">
        <f t="shared" si="28"/>
        <v>28107514.489999998</v>
      </c>
      <c r="K58" s="65">
        <f t="shared" si="28"/>
        <v>28107514.489999998</v>
      </c>
      <c r="L58" s="65">
        <f t="shared" si="28"/>
        <v>0</v>
      </c>
      <c r="M58" s="65">
        <f t="shared" si="28"/>
        <v>7000000</v>
      </c>
      <c r="N58" s="65">
        <f t="shared" si="28"/>
        <v>7000000</v>
      </c>
      <c r="O58" s="65">
        <f t="shared" si="28"/>
        <v>0</v>
      </c>
      <c r="P58" s="65">
        <f t="shared" si="28"/>
        <v>0</v>
      </c>
      <c r="Q58" s="65">
        <f t="shared" si="28"/>
        <v>0</v>
      </c>
      <c r="R58" s="65">
        <f t="shared" si="28"/>
        <v>0</v>
      </c>
      <c r="S58" s="65">
        <f>S23+S52+S48+S45+S41+S34+S31+S27+S57</f>
        <v>31577600.050000001</v>
      </c>
      <c r="T58" s="37"/>
    </row>
    <row r="59" spans="1:20" s="11" customFormat="1" ht="51" customHeight="1" x14ac:dyDescent="0.2">
      <c r="A59" s="74" t="s">
        <v>30</v>
      </c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30"/>
    </row>
    <row r="60" spans="1:20" s="11" customFormat="1" ht="51" customHeight="1" x14ac:dyDescent="0.2">
      <c r="A60" s="9">
        <v>1</v>
      </c>
      <c r="B60" s="1" t="s">
        <v>4</v>
      </c>
      <c r="C60" s="12">
        <f t="shared" ref="C60:C65" si="29">D60+G60+J60+M60+P60+S60</f>
        <v>119850</v>
      </c>
      <c r="D60" s="41">
        <f>SUM(E60:F60)</f>
        <v>0</v>
      </c>
      <c r="E60" s="41">
        <v>0</v>
      </c>
      <c r="F60" s="41">
        <v>0</v>
      </c>
      <c r="G60" s="41">
        <f>SUM(H60:I60)</f>
        <v>0</v>
      </c>
      <c r="H60" s="41">
        <v>0</v>
      </c>
      <c r="I60" s="41">
        <v>0</v>
      </c>
      <c r="J60" s="41">
        <f>SUM(K60:L60)</f>
        <v>0</v>
      </c>
      <c r="K60" s="41">
        <v>0</v>
      </c>
      <c r="L60" s="41">
        <v>0</v>
      </c>
      <c r="M60" s="12">
        <f t="shared" ref="M60:M65" si="30">SUM(N60:O60)</f>
        <v>0</v>
      </c>
      <c r="N60" s="27">
        <v>0</v>
      </c>
      <c r="O60" s="27">
        <v>0</v>
      </c>
      <c r="P60" s="41">
        <f>SUM(Q60:R60)</f>
        <v>119850</v>
      </c>
      <c r="Q60" s="41">
        <v>119850</v>
      </c>
      <c r="R60" s="41">
        <v>0</v>
      </c>
      <c r="S60" s="41">
        <v>0</v>
      </c>
      <c r="T60" s="30"/>
    </row>
    <row r="61" spans="1:20" s="11" customFormat="1" ht="51" customHeight="1" x14ac:dyDescent="0.2">
      <c r="A61" s="9">
        <v>2</v>
      </c>
      <c r="B61" s="1" t="s">
        <v>5</v>
      </c>
      <c r="C61" s="12">
        <f t="shared" si="29"/>
        <v>119850</v>
      </c>
      <c r="D61" s="41">
        <f t="shared" ref="D61:D65" si="31">SUM(E61:F61)</f>
        <v>0</v>
      </c>
      <c r="E61" s="41">
        <v>0</v>
      </c>
      <c r="F61" s="41">
        <v>0</v>
      </c>
      <c r="G61" s="41">
        <f t="shared" ref="G61:G65" si="32">SUM(H61:I61)</f>
        <v>0</v>
      </c>
      <c r="H61" s="41">
        <v>0</v>
      </c>
      <c r="I61" s="41">
        <v>0</v>
      </c>
      <c r="J61" s="41">
        <f t="shared" ref="J61:J65" si="33">SUM(K61:L61)</f>
        <v>0</v>
      </c>
      <c r="K61" s="41">
        <v>0</v>
      </c>
      <c r="L61" s="41">
        <v>0</v>
      </c>
      <c r="M61" s="12">
        <f t="shared" si="30"/>
        <v>0</v>
      </c>
      <c r="N61" s="27">
        <v>0</v>
      </c>
      <c r="O61" s="27">
        <v>0</v>
      </c>
      <c r="P61" s="41">
        <f t="shared" ref="P61:P65" si="34">SUM(Q61:R61)</f>
        <v>119850</v>
      </c>
      <c r="Q61" s="41">
        <v>119850</v>
      </c>
      <c r="R61" s="41">
        <v>0</v>
      </c>
      <c r="S61" s="41">
        <v>0</v>
      </c>
      <c r="T61" s="30"/>
    </row>
    <row r="62" spans="1:20" s="11" customFormat="1" ht="51" customHeight="1" x14ac:dyDescent="0.2">
      <c r="A62" s="9">
        <v>3</v>
      </c>
      <c r="B62" s="1" t="s">
        <v>8</v>
      </c>
      <c r="C62" s="12">
        <f t="shared" si="29"/>
        <v>119850</v>
      </c>
      <c r="D62" s="41">
        <f t="shared" si="31"/>
        <v>0</v>
      </c>
      <c r="E62" s="41">
        <v>0</v>
      </c>
      <c r="F62" s="41">
        <v>0</v>
      </c>
      <c r="G62" s="41">
        <f t="shared" si="32"/>
        <v>0</v>
      </c>
      <c r="H62" s="41">
        <v>0</v>
      </c>
      <c r="I62" s="41">
        <v>0</v>
      </c>
      <c r="J62" s="41">
        <f t="shared" si="33"/>
        <v>0</v>
      </c>
      <c r="K62" s="41">
        <v>0</v>
      </c>
      <c r="L62" s="41">
        <v>0</v>
      </c>
      <c r="M62" s="12">
        <f t="shared" si="30"/>
        <v>0</v>
      </c>
      <c r="N62" s="27">
        <v>0</v>
      </c>
      <c r="O62" s="27">
        <v>0</v>
      </c>
      <c r="P62" s="41">
        <f t="shared" si="34"/>
        <v>119850</v>
      </c>
      <c r="Q62" s="41">
        <v>119850</v>
      </c>
      <c r="R62" s="41">
        <v>0</v>
      </c>
      <c r="S62" s="41">
        <v>0</v>
      </c>
      <c r="T62" s="30"/>
    </row>
    <row r="63" spans="1:20" s="11" customFormat="1" ht="51" customHeight="1" x14ac:dyDescent="0.2">
      <c r="A63" s="9">
        <v>4</v>
      </c>
      <c r="B63" s="1" t="s">
        <v>9</v>
      </c>
      <c r="C63" s="12">
        <f t="shared" si="29"/>
        <v>119850</v>
      </c>
      <c r="D63" s="41">
        <f t="shared" si="31"/>
        <v>0</v>
      </c>
      <c r="E63" s="41">
        <v>0</v>
      </c>
      <c r="F63" s="41">
        <v>0</v>
      </c>
      <c r="G63" s="41">
        <f t="shared" si="32"/>
        <v>0</v>
      </c>
      <c r="H63" s="41">
        <v>0</v>
      </c>
      <c r="I63" s="41">
        <v>0</v>
      </c>
      <c r="J63" s="41">
        <f t="shared" si="33"/>
        <v>0</v>
      </c>
      <c r="K63" s="41">
        <v>0</v>
      </c>
      <c r="L63" s="41">
        <v>0</v>
      </c>
      <c r="M63" s="12">
        <f t="shared" si="30"/>
        <v>0</v>
      </c>
      <c r="N63" s="27">
        <v>0</v>
      </c>
      <c r="O63" s="27">
        <v>0</v>
      </c>
      <c r="P63" s="41">
        <f t="shared" si="34"/>
        <v>119850</v>
      </c>
      <c r="Q63" s="41">
        <v>119850</v>
      </c>
      <c r="R63" s="41">
        <v>0</v>
      </c>
      <c r="S63" s="41">
        <v>0</v>
      </c>
      <c r="T63" s="30"/>
    </row>
    <row r="64" spans="1:20" s="11" customFormat="1" ht="51" customHeight="1" x14ac:dyDescent="0.2">
      <c r="A64" s="9">
        <v>5</v>
      </c>
      <c r="B64" s="1" t="s">
        <v>10</v>
      </c>
      <c r="C64" s="12">
        <f t="shared" si="29"/>
        <v>121350</v>
      </c>
      <c r="D64" s="41">
        <f t="shared" si="31"/>
        <v>0</v>
      </c>
      <c r="E64" s="41">
        <v>0</v>
      </c>
      <c r="F64" s="41">
        <v>0</v>
      </c>
      <c r="G64" s="41">
        <f t="shared" si="32"/>
        <v>0</v>
      </c>
      <c r="H64" s="41">
        <v>0</v>
      </c>
      <c r="I64" s="41">
        <v>0</v>
      </c>
      <c r="J64" s="41">
        <f t="shared" si="33"/>
        <v>0</v>
      </c>
      <c r="K64" s="41">
        <v>0</v>
      </c>
      <c r="L64" s="41">
        <v>0</v>
      </c>
      <c r="M64" s="12">
        <f t="shared" si="30"/>
        <v>0</v>
      </c>
      <c r="N64" s="27">
        <v>0</v>
      </c>
      <c r="O64" s="27">
        <v>0</v>
      </c>
      <c r="P64" s="41">
        <f t="shared" si="34"/>
        <v>121350</v>
      </c>
      <c r="Q64" s="41">
        <v>121350</v>
      </c>
      <c r="R64" s="41">
        <v>0</v>
      </c>
      <c r="S64" s="41">
        <v>0</v>
      </c>
      <c r="T64" s="30"/>
    </row>
    <row r="65" spans="1:20" s="11" customFormat="1" ht="51" customHeight="1" x14ac:dyDescent="0.2">
      <c r="A65" s="9">
        <v>6</v>
      </c>
      <c r="B65" s="1" t="s">
        <v>12</v>
      </c>
      <c r="C65" s="12">
        <f t="shared" si="29"/>
        <v>121350</v>
      </c>
      <c r="D65" s="41">
        <f t="shared" si="31"/>
        <v>0</v>
      </c>
      <c r="E65" s="41">
        <v>0</v>
      </c>
      <c r="F65" s="41">
        <v>0</v>
      </c>
      <c r="G65" s="41">
        <f t="shared" si="32"/>
        <v>0</v>
      </c>
      <c r="H65" s="41">
        <v>0</v>
      </c>
      <c r="I65" s="41">
        <v>0</v>
      </c>
      <c r="J65" s="41">
        <f t="shared" si="33"/>
        <v>0</v>
      </c>
      <c r="K65" s="41">
        <v>0</v>
      </c>
      <c r="L65" s="41">
        <v>0</v>
      </c>
      <c r="M65" s="12">
        <f t="shared" si="30"/>
        <v>0</v>
      </c>
      <c r="N65" s="27">
        <v>0</v>
      </c>
      <c r="O65" s="27">
        <v>0</v>
      </c>
      <c r="P65" s="41">
        <f t="shared" si="34"/>
        <v>121350</v>
      </c>
      <c r="Q65" s="41">
        <v>121350</v>
      </c>
      <c r="R65" s="41">
        <v>0</v>
      </c>
      <c r="S65" s="41">
        <v>0</v>
      </c>
      <c r="T65" s="30"/>
    </row>
    <row r="66" spans="1:20" s="11" customFormat="1" ht="51" customHeight="1" x14ac:dyDescent="0.2">
      <c r="A66" s="9"/>
      <c r="B66" s="1" t="s">
        <v>31</v>
      </c>
      <c r="C66" s="41">
        <f>SUM(C60:C65)</f>
        <v>722100</v>
      </c>
      <c r="D66" s="41">
        <f t="shared" ref="D66:S66" si="35">SUM(D60:D65)</f>
        <v>0</v>
      </c>
      <c r="E66" s="41">
        <f t="shared" si="35"/>
        <v>0</v>
      </c>
      <c r="F66" s="41">
        <f t="shared" si="35"/>
        <v>0</v>
      </c>
      <c r="G66" s="41">
        <f t="shared" si="35"/>
        <v>0</v>
      </c>
      <c r="H66" s="41">
        <f t="shared" si="35"/>
        <v>0</v>
      </c>
      <c r="I66" s="41">
        <f t="shared" si="35"/>
        <v>0</v>
      </c>
      <c r="J66" s="41">
        <f t="shared" ref="J66" si="36">SUM(J60:J65)</f>
        <v>0</v>
      </c>
      <c r="K66" s="41">
        <f t="shared" ref="K66" si="37">SUM(K60:K65)</f>
        <v>0</v>
      </c>
      <c r="L66" s="41">
        <f t="shared" ref="L66:O66" si="38">SUM(L60:L65)</f>
        <v>0</v>
      </c>
      <c r="M66" s="41">
        <f t="shared" si="38"/>
        <v>0</v>
      </c>
      <c r="N66" s="41">
        <f t="shared" si="38"/>
        <v>0</v>
      </c>
      <c r="O66" s="41">
        <f t="shared" si="38"/>
        <v>0</v>
      </c>
      <c r="P66" s="41">
        <f t="shared" si="35"/>
        <v>722100</v>
      </c>
      <c r="Q66" s="41">
        <f t="shared" si="35"/>
        <v>722100</v>
      </c>
      <c r="R66" s="41">
        <f t="shared" si="35"/>
        <v>0</v>
      </c>
      <c r="S66" s="41">
        <f t="shared" si="35"/>
        <v>0</v>
      </c>
      <c r="T66" s="30"/>
    </row>
    <row r="67" spans="1:20" s="11" customFormat="1" ht="44.25" customHeight="1" x14ac:dyDescent="0.2">
      <c r="A67" s="9"/>
      <c r="B67" s="1" t="s">
        <v>15</v>
      </c>
      <c r="C67" s="51">
        <f>C66+C58</f>
        <v>1558687739.3200002</v>
      </c>
      <c r="D67" s="64">
        <f t="shared" ref="D67:S67" si="39">D66+D58</f>
        <v>395084850.84999996</v>
      </c>
      <c r="E67" s="64">
        <f t="shared" si="39"/>
        <v>395080900</v>
      </c>
      <c r="F67" s="64">
        <f t="shared" si="39"/>
        <v>3950.8499999999995</v>
      </c>
      <c r="G67" s="64">
        <f t="shared" si="39"/>
        <v>1096195673.9300003</v>
      </c>
      <c r="H67" s="64">
        <f t="shared" si="39"/>
        <v>1096184711.8700001</v>
      </c>
      <c r="I67" s="64">
        <f t="shared" si="39"/>
        <v>10962.060000000001</v>
      </c>
      <c r="J67" s="64">
        <f t="shared" si="39"/>
        <v>28107514.489999998</v>
      </c>
      <c r="K67" s="64">
        <f t="shared" si="39"/>
        <v>28107514.489999998</v>
      </c>
      <c r="L67" s="64">
        <f t="shared" si="39"/>
        <v>0</v>
      </c>
      <c r="M67" s="64">
        <f t="shared" si="39"/>
        <v>7000000</v>
      </c>
      <c r="N67" s="64">
        <f t="shared" si="39"/>
        <v>7000000</v>
      </c>
      <c r="O67" s="64">
        <f t="shared" si="39"/>
        <v>0</v>
      </c>
      <c r="P67" s="64">
        <f t="shared" si="39"/>
        <v>722100</v>
      </c>
      <c r="Q67" s="64">
        <f t="shared" si="39"/>
        <v>722100</v>
      </c>
      <c r="R67" s="64">
        <f t="shared" si="39"/>
        <v>0</v>
      </c>
      <c r="S67" s="64">
        <f t="shared" si="39"/>
        <v>31577600.050000001</v>
      </c>
      <c r="T67" s="30"/>
    </row>
    <row r="68" spans="1:20" s="11" customFormat="1" ht="44.25" customHeight="1" x14ac:dyDescent="0.2">
      <c r="A68" s="13"/>
      <c r="B68" s="2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</row>
    <row r="69" spans="1:20" s="11" customFormat="1" ht="44.25" customHeight="1" x14ac:dyDescent="0.2">
      <c r="A69" s="13"/>
      <c r="B69" s="2"/>
      <c r="C69" s="14"/>
    </row>
    <row r="70" spans="1:20" s="11" customFormat="1" ht="48" customHeight="1" x14ac:dyDescent="0.2">
      <c r="A70" s="60" t="s">
        <v>65</v>
      </c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</row>
    <row r="71" spans="1:20" s="11" customFormat="1" ht="24" customHeight="1" x14ac:dyDescent="0.2">
      <c r="A71" s="16"/>
      <c r="B71" s="17"/>
      <c r="C71" s="18"/>
    </row>
    <row r="74" spans="1:20" x14ac:dyDescent="0.3">
      <c r="C74" s="5"/>
    </row>
    <row r="77" spans="1:20" x14ac:dyDescent="0.3">
      <c r="C77" s="5"/>
    </row>
  </sheetData>
  <mergeCells count="35">
    <mergeCell ref="M15:O15"/>
    <mergeCell ref="M16:M17"/>
    <mergeCell ref="N16:O16"/>
    <mergeCell ref="A20:S20"/>
    <mergeCell ref="T15:T17"/>
    <mergeCell ref="G15:I15"/>
    <mergeCell ref="G16:G17"/>
    <mergeCell ref="H16:I16"/>
    <mergeCell ref="D16:D17"/>
    <mergeCell ref="A42:S42"/>
    <mergeCell ref="A59:S59"/>
    <mergeCell ref="A49:S49"/>
    <mergeCell ref="A19:S19"/>
    <mergeCell ref="A24:S24"/>
    <mergeCell ref="A35:S35"/>
    <mergeCell ref="A46:S46"/>
    <mergeCell ref="A32:S32"/>
    <mergeCell ref="A28:S28"/>
    <mergeCell ref="A53:S53"/>
    <mergeCell ref="A9:S9"/>
    <mergeCell ref="A10:S10"/>
    <mergeCell ref="A11:S11"/>
    <mergeCell ref="A12:S12"/>
    <mergeCell ref="J15:L15"/>
    <mergeCell ref="S15:S17"/>
    <mergeCell ref="P15:R15"/>
    <mergeCell ref="P16:P17"/>
    <mergeCell ref="Q16:R16"/>
    <mergeCell ref="A15:A17"/>
    <mergeCell ref="B15:B17"/>
    <mergeCell ref="C15:C17"/>
    <mergeCell ref="D15:F15"/>
    <mergeCell ref="J16:J17"/>
    <mergeCell ref="K16:L16"/>
    <mergeCell ref="E16:F16"/>
  </mergeCells>
  <pageMargins left="1.3779527559055118" right="0.39370078740157483" top="1.3779527559055118" bottom="0.39370078740157483" header="0.31496062992125984" footer="0.31496062992125984"/>
  <pageSetup paperSize="8" scale="26" fitToHeight="2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B3" sqref="B3"/>
    </sheetView>
  </sheetViews>
  <sheetFormatPr defaultRowHeight="12.75" x14ac:dyDescent="0.2"/>
  <cols>
    <col min="1" max="1" width="78.85546875" customWidth="1"/>
    <col min="2" max="2" width="19.42578125" customWidth="1"/>
    <col min="3" max="3" width="17.5703125" customWidth="1"/>
    <col min="4" max="4" width="17.140625" customWidth="1"/>
  </cols>
  <sheetData>
    <row r="1" spans="1:4" ht="15.75" x14ac:dyDescent="0.25">
      <c r="A1" s="33" t="s">
        <v>25</v>
      </c>
      <c r="B1" s="32">
        <f>'Свод '!H25</f>
        <v>18110128.969999999</v>
      </c>
      <c r="C1" s="32">
        <v>24841500</v>
      </c>
      <c r="D1" s="32">
        <f>C1-B1</f>
        <v>6731371.0300000012</v>
      </c>
    </row>
    <row r="2" spans="1:4" ht="29.25" customHeight="1" x14ac:dyDescent="0.2">
      <c r="A2" s="34" t="s">
        <v>42</v>
      </c>
      <c r="B2" s="32">
        <f>'Свод '!H29</f>
        <v>302843427.5</v>
      </c>
      <c r="C2" s="32">
        <v>310000000</v>
      </c>
      <c r="D2" s="32">
        <f t="shared" ref="D2:D6" si="0">C2-B2</f>
        <v>7156572.5</v>
      </c>
    </row>
    <row r="3" spans="1:4" ht="15.75" x14ac:dyDescent="0.25">
      <c r="A3" s="33" t="s">
        <v>29</v>
      </c>
      <c r="B3" s="32">
        <f>'Свод '!H41</f>
        <v>76331883.680000007</v>
      </c>
      <c r="C3" s="32">
        <v>64700000</v>
      </c>
      <c r="D3" s="32">
        <f t="shared" si="0"/>
        <v>-11631883.680000007</v>
      </c>
    </row>
    <row r="4" spans="1:4" ht="33" customHeight="1" x14ac:dyDescent="0.2">
      <c r="A4" s="34" t="s">
        <v>41</v>
      </c>
      <c r="B4" s="32">
        <f>'Свод '!H44</f>
        <v>3409729.9700000007</v>
      </c>
      <c r="C4" s="32">
        <v>12000000</v>
      </c>
      <c r="D4" s="32">
        <f t="shared" si="0"/>
        <v>8590270.0299999993</v>
      </c>
    </row>
    <row r="5" spans="1:4" ht="28.5" customHeight="1" x14ac:dyDescent="0.2">
      <c r="A5" s="35" t="s">
        <v>27</v>
      </c>
      <c r="B5" s="32">
        <f>'Свод '!E50+'Свод '!H50</f>
        <v>201168013.31999999</v>
      </c>
      <c r="C5" s="32">
        <v>213916400</v>
      </c>
      <c r="D5" s="32">
        <f t="shared" si="0"/>
        <v>12748386.680000007</v>
      </c>
    </row>
    <row r="6" spans="1:4" ht="26.25" customHeight="1" x14ac:dyDescent="0.2">
      <c r="A6" s="34" t="s">
        <v>28</v>
      </c>
      <c r="B6" s="32">
        <f>'Свод '!E51+'Свод '!H51</f>
        <v>865807711.87</v>
      </c>
      <c r="C6" s="32">
        <v>742164100</v>
      </c>
      <c r="D6" s="32">
        <f t="shared" si="0"/>
        <v>-123643611.87</v>
      </c>
    </row>
    <row r="7" spans="1:4" x14ac:dyDescent="0.2">
      <c r="B7" s="32">
        <f>SUM(B1:B6)</f>
        <v>1467670895.3099999</v>
      </c>
      <c r="C7" s="32">
        <f t="shared" ref="C7:D7" si="1">SUM(C1:C6)</f>
        <v>1367622000</v>
      </c>
      <c r="D7" s="32">
        <f t="shared" si="1"/>
        <v>-100048895.31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 </vt:lpstr>
      <vt:lpstr>Лист1</vt:lpstr>
      <vt:lpstr>'Свод '!Заголовки_для_печати</vt:lpstr>
      <vt:lpstr>'Свод 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Шульгина</cp:lastModifiedBy>
  <cp:lastPrinted>2024-11-29T07:09:42Z</cp:lastPrinted>
  <dcterms:created xsi:type="dcterms:W3CDTF">2002-03-25T05:35:56Z</dcterms:created>
  <dcterms:modified xsi:type="dcterms:W3CDTF">2024-12-19T15:21:09Z</dcterms:modified>
</cp:coreProperties>
</file>